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neomid\Desktop\אתר אקדמאים\מסמכים נגישים\"/>
    </mc:Choice>
  </mc:AlternateContent>
  <xr:revisionPtr revIDLastSave="0" documentId="8_{0B5D4127-69C9-4DFB-99F2-C7FAEFA5B809}" xr6:coauthVersionLast="36" xr6:coauthVersionMax="36" xr10:uidLastSave="{00000000-0000-0000-0000-000000000000}"/>
  <bookViews>
    <workbookView xWindow="0" yWindow="0" windowWidth="20490" windowHeight="7650" tabRatio="924" xr2:uid="{00000000-000D-0000-FFFF-FFFF00000000}"/>
  </bookViews>
  <sheets>
    <sheet name="נספח 1 - סך התשלומים ששולמו" sheetId="2" r:id="rId1"/>
    <sheet name="נספח 1-כללי" sheetId="3" r:id="rId2"/>
    <sheet name="נספח 1-  אג&quot;ח" sheetId="4" r:id="rId3"/>
    <sheet name="נספח 1- מניות" sheetId="5" r:id="rId4"/>
    <sheet name="נספח 2 - עמלות והוצאות" sheetId="6" r:id="rId5"/>
    <sheet name="נספח 2- כללי" sheetId="7" r:id="rId6"/>
    <sheet name="נספח 2- אג&quot;ח" sheetId="8" r:id="rId7"/>
    <sheet name="נספח 2-מניות" sheetId="9" r:id="rId8"/>
    <sheet name="נספח 3 - עמלות ניהול חיצוני" sheetId="10" r:id="rId9"/>
    <sheet name="נספח 3 - כללי" sheetId="11" r:id="rId10"/>
    <sheet name="נספח 3-אג&quot;ח" sheetId="12" r:id="rId11"/>
    <sheet name="נספח 3 - מניות" sheetId="13" r:id="rId12"/>
    <sheet name="בקרה - נספח3" sheetId="14" state="hidden" r:id="rId13"/>
    <sheet name="בקרה - נספח2" sheetId="15" state="hidden" r:id="rId14"/>
    <sheet name="בקרה - נספח1" sheetId="16" state="hidden" r:id="rId15"/>
  </sheets>
  <externalReferences>
    <externalReference r:id="rId16"/>
  </externalReferences>
  <definedNames>
    <definedName name="_xlnm._FilterDatabase" localSheetId="12" hidden="1">'בקרה - נספח3'!$A$1:$B$13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1" l="1"/>
  <c r="B61" i="10"/>
  <c r="B65" i="10"/>
  <c r="B68" i="10"/>
  <c r="B12" i="11" l="1"/>
  <c r="B8" i="11"/>
  <c r="B7" i="11"/>
  <c r="B11" i="11"/>
  <c r="B9" i="11"/>
  <c r="B24" i="11" l="1"/>
  <c r="C30" i="5" l="1"/>
  <c r="C30" i="4"/>
  <c r="B31" i="2" s="1"/>
  <c r="B35" i="2" s="1"/>
  <c r="B39" i="8" l="1"/>
  <c r="B45" i="6" s="1"/>
  <c r="B39" i="9"/>
  <c r="B39" i="12"/>
  <c r="B227" i="10" s="1"/>
  <c r="B86" i="13"/>
  <c r="B22" i="11"/>
  <c r="B21" i="11"/>
  <c r="B20" i="11"/>
  <c r="C20" i="10" l="1"/>
  <c r="C10" i="10"/>
  <c r="C50" i="10"/>
  <c r="C60" i="10"/>
  <c r="C18" i="10"/>
  <c r="C19" i="10"/>
  <c r="B19" i="11"/>
  <c r="B18" i="11"/>
  <c r="B17" i="11"/>
  <c r="B224" i="10" l="1"/>
  <c r="B10" i="6" l="1"/>
  <c r="C62" i="10"/>
  <c r="C64" i="10"/>
  <c r="C66" i="10"/>
  <c r="C61" i="10"/>
  <c r="B63" i="10"/>
  <c r="B67" i="10"/>
  <c r="C67" i="10" s="1"/>
  <c r="C65" i="10"/>
  <c r="C68" i="10"/>
  <c r="B56" i="10"/>
  <c r="C47" i="10"/>
  <c r="C48" i="10"/>
  <c r="C49" i="10"/>
  <c r="C51" i="10"/>
  <c r="C52" i="10"/>
  <c r="C53" i="10"/>
  <c r="C54" i="10"/>
  <c r="C55" i="10"/>
  <c r="C46" i="10"/>
  <c r="B24" i="7"/>
  <c r="B25" i="6" s="1"/>
  <c r="B175" i="11"/>
  <c r="C69" i="11"/>
  <c r="B59" i="11"/>
  <c r="B61" i="11"/>
  <c r="B65" i="11"/>
  <c r="B63" i="11"/>
  <c r="B66" i="11"/>
  <c r="C63" i="10" l="1"/>
  <c r="B69" i="10"/>
  <c r="B25" i="7"/>
  <c r="B14" i="7"/>
  <c r="B15" i="6" s="1"/>
  <c r="B10" i="7"/>
  <c r="B11" i="6" s="1"/>
  <c r="C34" i="5"/>
  <c r="C64" i="13"/>
  <c r="B14" i="11" l="1"/>
  <c r="C34" i="3" l="1"/>
  <c r="C21" i="5" l="1"/>
  <c r="C18" i="5"/>
  <c r="C17" i="5"/>
  <c r="C16" i="5"/>
  <c r="B15" i="7"/>
  <c r="C79" i="13"/>
  <c r="C80" i="13"/>
  <c r="C81" i="13"/>
  <c r="C82" i="13"/>
  <c r="O6" i="2" l="1"/>
  <c r="O26" i="2"/>
  <c r="B54" i="11" l="1"/>
  <c r="E3" i="14"/>
  <c r="F3" i="14"/>
  <c r="B6" i="11" l="1"/>
  <c r="B16" i="10" l="1"/>
  <c r="C51" i="11" l="1"/>
  <c r="C52" i="11"/>
  <c r="C53" i="11"/>
  <c r="C61" i="11"/>
  <c r="C58" i="11"/>
  <c r="C60" i="13" l="1"/>
  <c r="C61" i="13"/>
  <c r="E32" i="4" l="1"/>
  <c r="C34" i="4"/>
  <c r="C9" i="3" l="1"/>
  <c r="D32" i="3" l="1"/>
  <c r="C12" i="11" l="1"/>
  <c r="B15" i="11" l="1"/>
  <c r="F9" i="16" l="1"/>
  <c r="F8" i="16"/>
  <c r="F6" i="16"/>
  <c r="E9" i="16"/>
  <c r="E8" i="16"/>
  <c r="F9" i="15"/>
  <c r="E9" i="15"/>
  <c r="D9" i="15"/>
  <c r="F13" i="14"/>
  <c r="E13" i="14"/>
  <c r="D13" i="14"/>
  <c r="E12" i="14"/>
  <c r="E11" i="14"/>
  <c r="E10" i="14"/>
  <c r="E9" i="14"/>
  <c r="E7" i="14"/>
  <c r="F6" i="14"/>
  <c r="E6" i="14"/>
  <c r="F5" i="14"/>
  <c r="E5" i="14"/>
  <c r="F4" i="14"/>
  <c r="E4" i="14"/>
  <c r="E2" i="14"/>
  <c r="C13" i="14" l="1"/>
  <c r="G13" i="14" s="1"/>
  <c r="C9" i="15"/>
  <c r="G9" i="15" s="1"/>
  <c r="E30" i="5"/>
  <c r="E30" i="4"/>
  <c r="E31" i="4"/>
  <c r="E10" i="16"/>
  <c r="B16" i="6"/>
  <c r="B10" i="9"/>
  <c r="C6" i="5" s="1"/>
  <c r="C62" i="11"/>
  <c r="C63" i="11"/>
  <c r="C64" i="11"/>
  <c r="B225" i="10" l="1"/>
  <c r="D10" i="14"/>
  <c r="D9" i="14"/>
  <c r="C20" i="3"/>
  <c r="F10" i="14"/>
  <c r="F9" i="14"/>
  <c r="E32" i="3"/>
  <c r="E30" i="3"/>
  <c r="C10" i="14" l="1"/>
  <c r="G10" i="14" s="1"/>
  <c r="C9" i="14"/>
  <c r="G9" i="14" s="1"/>
  <c r="C65" i="13"/>
  <c r="C69" i="13"/>
  <c r="C73" i="13"/>
  <c r="C72" i="13"/>
  <c r="C32" i="13"/>
  <c r="C66" i="13"/>
  <c r="C70" i="13"/>
  <c r="C74" i="13"/>
  <c r="C68" i="13"/>
  <c r="C67" i="13"/>
  <c r="C71" i="13"/>
  <c r="C31" i="13"/>
  <c r="C86" i="13" l="1"/>
  <c r="C75" i="13"/>
  <c r="C56" i="13"/>
  <c r="C52" i="13"/>
  <c r="C48" i="13"/>
  <c r="C44" i="13"/>
  <c r="C40" i="13"/>
  <c r="B35" i="13"/>
  <c r="C33" i="13"/>
  <c r="B26" i="13"/>
  <c r="C22" i="13"/>
  <c r="C16" i="13"/>
  <c r="C11" i="13"/>
  <c r="B6" i="13"/>
  <c r="C39" i="12"/>
  <c r="C38" i="12"/>
  <c r="C37" i="12"/>
  <c r="C36" i="12"/>
  <c r="C35" i="12"/>
  <c r="B33" i="12"/>
  <c r="E8" i="14" s="1"/>
  <c r="C32" i="12"/>
  <c r="C31" i="12"/>
  <c r="C30" i="12"/>
  <c r="C27" i="12"/>
  <c r="C26" i="12"/>
  <c r="C25" i="12"/>
  <c r="C23" i="12"/>
  <c r="C22" i="12"/>
  <c r="C19" i="12"/>
  <c r="C18" i="12"/>
  <c r="C17" i="12"/>
  <c r="C16" i="12"/>
  <c r="C14" i="12"/>
  <c r="C13" i="12"/>
  <c r="C12" i="12"/>
  <c r="C11" i="12"/>
  <c r="C9" i="12"/>
  <c r="C8" i="12"/>
  <c r="C6" i="12"/>
  <c r="C5" i="12"/>
  <c r="C178" i="11"/>
  <c r="C175" i="11"/>
  <c r="B67" i="11"/>
  <c r="B176" i="11" s="1"/>
  <c r="C66" i="11"/>
  <c r="C65" i="11"/>
  <c r="C50" i="11"/>
  <c r="C45" i="11"/>
  <c r="B43" i="11"/>
  <c r="C42" i="11"/>
  <c r="B39" i="11"/>
  <c r="C38" i="11"/>
  <c r="C37" i="11"/>
  <c r="C36" i="11"/>
  <c r="B34" i="11"/>
  <c r="D4" i="14" s="1"/>
  <c r="C4" i="14" s="1"/>
  <c r="G4" i="14" s="1"/>
  <c r="C33" i="11"/>
  <c r="C32" i="11"/>
  <c r="C31" i="11"/>
  <c r="C28" i="11"/>
  <c r="C27" i="11"/>
  <c r="B29" i="11"/>
  <c r="C26" i="11"/>
  <c r="C24" i="11"/>
  <c r="C23" i="11"/>
  <c r="C22" i="11"/>
  <c r="C21" i="11"/>
  <c r="C20" i="11"/>
  <c r="C19" i="11"/>
  <c r="C18" i="11"/>
  <c r="C17" i="11"/>
  <c r="C14" i="11"/>
  <c r="C13" i="11"/>
  <c r="C11" i="11"/>
  <c r="C10" i="11"/>
  <c r="C9" i="11"/>
  <c r="C8" i="11"/>
  <c r="C7" i="11"/>
  <c r="C6" i="11"/>
  <c r="C5" i="11"/>
  <c r="B43" i="10"/>
  <c r="B44" i="10" s="1"/>
  <c r="B57" i="10" s="1"/>
  <c r="B39" i="10"/>
  <c r="B38" i="10"/>
  <c r="B37" i="10"/>
  <c r="B34" i="10"/>
  <c r="B33" i="10"/>
  <c r="B32" i="10"/>
  <c r="B30" i="10"/>
  <c r="C30" i="10" s="1"/>
  <c r="C39" i="9"/>
  <c r="B37" i="9"/>
  <c r="B33" i="9"/>
  <c r="B29" i="9"/>
  <c r="B24" i="9"/>
  <c r="F4" i="15" s="1"/>
  <c r="B20" i="9"/>
  <c r="C9" i="5" s="1"/>
  <c r="E9" i="5" s="1"/>
  <c r="B17" i="9"/>
  <c r="C17" i="9" s="1"/>
  <c r="C14" i="9"/>
  <c r="D6" i="5"/>
  <c r="B7" i="9"/>
  <c r="C7" i="9" s="1"/>
  <c r="C35" i="8"/>
  <c r="B37" i="8"/>
  <c r="C36" i="8"/>
  <c r="B33" i="8"/>
  <c r="C32" i="8"/>
  <c r="B29" i="8"/>
  <c r="C28" i="8"/>
  <c r="B24" i="8"/>
  <c r="B20" i="8"/>
  <c r="B17" i="8"/>
  <c r="C14" i="8"/>
  <c r="B10" i="8"/>
  <c r="C6" i="4" s="1"/>
  <c r="D6" i="4" s="1"/>
  <c r="C9" i="8"/>
  <c r="B7" i="8"/>
  <c r="C6" i="8"/>
  <c r="C44" i="7"/>
  <c r="C41" i="7"/>
  <c r="B42" i="7"/>
  <c r="D7" i="15" s="1"/>
  <c r="C40" i="7"/>
  <c r="B38" i="7"/>
  <c r="D6" i="15" s="1"/>
  <c r="C36" i="7"/>
  <c r="B34" i="7"/>
  <c r="D5" i="15" s="1"/>
  <c r="C33" i="7"/>
  <c r="C32" i="7"/>
  <c r="C31" i="7"/>
  <c r="B29" i="7"/>
  <c r="D4" i="15" s="1"/>
  <c r="C28" i="7"/>
  <c r="C24" i="7"/>
  <c r="B22" i="7"/>
  <c r="B26" i="7" s="1"/>
  <c r="C21" i="7"/>
  <c r="C20" i="7"/>
  <c r="C19" i="7"/>
  <c r="C6" i="3"/>
  <c r="C14" i="7"/>
  <c r="C13" i="7"/>
  <c r="C12" i="7"/>
  <c r="C11" i="7"/>
  <c r="C10" i="7"/>
  <c r="C9" i="7"/>
  <c r="B7" i="7"/>
  <c r="C5" i="3" s="1"/>
  <c r="E5" i="3" s="1"/>
  <c r="C6" i="7"/>
  <c r="C7" i="7" s="1"/>
  <c r="C45" i="6"/>
  <c r="B26" i="6"/>
  <c r="B23" i="6"/>
  <c r="C14" i="6"/>
  <c r="C10" i="6"/>
  <c r="B8" i="6"/>
  <c r="C7" i="6"/>
  <c r="C8" i="6" s="1"/>
  <c r="F10" i="16"/>
  <c r="E32" i="5"/>
  <c r="E31" i="5"/>
  <c r="D30" i="5"/>
  <c r="E27" i="5"/>
  <c r="E25" i="5"/>
  <c r="D24" i="5"/>
  <c r="E21" i="5"/>
  <c r="E18" i="5"/>
  <c r="D16" i="5"/>
  <c r="E13" i="5"/>
  <c r="E12" i="5"/>
  <c r="D12" i="5"/>
  <c r="D11" i="5"/>
  <c r="E5" i="5"/>
  <c r="D30" i="4"/>
  <c r="E27" i="4"/>
  <c r="D25" i="4"/>
  <c r="E17" i="4"/>
  <c r="D13" i="4"/>
  <c r="E12" i="4"/>
  <c r="D12" i="4"/>
  <c r="E8" i="4"/>
  <c r="E31" i="3"/>
  <c r="D30" i="3"/>
  <c r="E27" i="3"/>
  <c r="D25" i="3"/>
  <c r="E24" i="3"/>
  <c r="E20" i="3"/>
  <c r="D20" i="3"/>
  <c r="E13" i="3"/>
  <c r="E12" i="3"/>
  <c r="D12" i="3"/>
  <c r="D11" i="3"/>
  <c r="E9" i="3"/>
  <c r="D9" i="3"/>
  <c r="C31" i="2"/>
  <c r="C28" i="2"/>
  <c r="C26" i="2"/>
  <c r="C25" i="2"/>
  <c r="C14" i="2"/>
  <c r="C13" i="2"/>
  <c r="C12" i="2"/>
  <c r="D9" i="5" l="1"/>
  <c r="B226" i="10"/>
  <c r="C19" i="5"/>
  <c r="B84" i="13"/>
  <c r="C20" i="5" s="1"/>
  <c r="F2" i="14"/>
  <c r="C15" i="5"/>
  <c r="C26" i="13"/>
  <c r="C22" i="5"/>
  <c r="C20" i="8"/>
  <c r="C9" i="4"/>
  <c r="C7" i="4" s="1"/>
  <c r="E3" i="16" s="1"/>
  <c r="E6" i="4"/>
  <c r="C15" i="7"/>
  <c r="C38" i="7"/>
  <c r="F8" i="14"/>
  <c r="B21" i="9"/>
  <c r="C29" i="7"/>
  <c r="C24" i="9"/>
  <c r="B11" i="8"/>
  <c r="C34" i="7"/>
  <c r="D3" i="14"/>
  <c r="C3" i="14" s="1"/>
  <c r="G3" i="14" s="1"/>
  <c r="C22" i="7"/>
  <c r="E2" i="15"/>
  <c r="C24" i="8"/>
  <c r="E4" i="15"/>
  <c r="C4" i="15" s="1"/>
  <c r="G4" i="15" s="1"/>
  <c r="C33" i="8"/>
  <c r="E6" i="15"/>
  <c r="C29" i="9"/>
  <c r="F5" i="15"/>
  <c r="C33" i="9"/>
  <c r="F6" i="15"/>
  <c r="C42" i="7"/>
  <c r="C29" i="8"/>
  <c r="E5" i="15"/>
  <c r="C37" i="8"/>
  <c r="E7" i="15"/>
  <c r="C37" i="9"/>
  <c r="F7" i="15"/>
  <c r="C33" i="12"/>
  <c r="C34" i="11"/>
  <c r="C39" i="11"/>
  <c r="D5" i="14"/>
  <c r="C5" i="14" s="1"/>
  <c r="G5" i="14" s="1"/>
  <c r="C21" i="3"/>
  <c r="E21" i="3" s="1"/>
  <c r="D6" i="14"/>
  <c r="C6" i="14" s="1"/>
  <c r="G6" i="14" s="1"/>
  <c r="D7" i="14"/>
  <c r="C18" i="3"/>
  <c r="B19" i="2" s="1"/>
  <c r="D8" i="14"/>
  <c r="C19" i="3"/>
  <c r="B20" i="2" s="1"/>
  <c r="B27" i="13"/>
  <c r="C27" i="13" s="1"/>
  <c r="F7" i="14"/>
  <c r="C7" i="5"/>
  <c r="F3" i="16" s="1"/>
  <c r="C4" i="4"/>
  <c r="E2" i="16" s="1"/>
  <c r="C26" i="7"/>
  <c r="D3" i="15"/>
  <c r="C21" i="9"/>
  <c r="F3" i="15"/>
  <c r="C10" i="3"/>
  <c r="D15" i="4"/>
  <c r="C16" i="3"/>
  <c r="B17" i="2" s="1"/>
  <c r="D19" i="4"/>
  <c r="C6" i="2"/>
  <c r="E17" i="3"/>
  <c r="B18" i="2"/>
  <c r="E18" i="4"/>
  <c r="E22" i="4"/>
  <c r="C7" i="3"/>
  <c r="B9" i="2"/>
  <c r="E20" i="4"/>
  <c r="B21" i="2"/>
  <c r="E21" i="4"/>
  <c r="D2" i="14"/>
  <c r="C15" i="3"/>
  <c r="C28" i="4"/>
  <c r="D28" i="4" s="1"/>
  <c r="C23" i="4"/>
  <c r="E6" i="16" s="1"/>
  <c r="E25" i="4"/>
  <c r="B17" i="6"/>
  <c r="C17" i="6" s="1"/>
  <c r="C43" i="11"/>
  <c r="E22" i="3"/>
  <c r="C59" i="11"/>
  <c r="B16" i="7"/>
  <c r="B43" i="7" s="1"/>
  <c r="B55" i="11"/>
  <c r="B177" i="11" s="1"/>
  <c r="E6" i="5"/>
  <c r="D19" i="5"/>
  <c r="B21" i="8"/>
  <c r="B38" i="8" s="1"/>
  <c r="C15" i="11"/>
  <c r="C29" i="11"/>
  <c r="C54" i="11"/>
  <c r="C4" i="5"/>
  <c r="D6" i="3"/>
  <c r="B7" i="2"/>
  <c r="E15" i="4"/>
  <c r="E24" i="5"/>
  <c r="E19" i="4"/>
  <c r="B24" i="2"/>
  <c r="D5" i="5"/>
  <c r="E11" i="5"/>
  <c r="D13" i="5"/>
  <c r="E16" i="5"/>
  <c r="C23" i="3"/>
  <c r="C67" i="11"/>
  <c r="E25" i="3"/>
  <c r="C14" i="4"/>
  <c r="E5" i="16" s="1"/>
  <c r="D18" i="4"/>
  <c r="D22" i="4"/>
  <c r="D24" i="4"/>
  <c r="C15" i="6"/>
  <c r="C33" i="6"/>
  <c r="C39" i="6"/>
  <c r="C23" i="6"/>
  <c r="C38" i="6"/>
  <c r="C4" i="3"/>
  <c r="E11" i="3"/>
  <c r="D13" i="3"/>
  <c r="D24" i="3"/>
  <c r="D8" i="4"/>
  <c r="C10" i="4"/>
  <c r="E4" i="16" s="1"/>
  <c r="E13" i="4"/>
  <c r="E24" i="4"/>
  <c r="D21" i="5"/>
  <c r="C11" i="6"/>
  <c r="C20" i="6"/>
  <c r="C29" i="6"/>
  <c r="C34" i="6"/>
  <c r="C42" i="6"/>
  <c r="C32" i="6"/>
  <c r="D17" i="4"/>
  <c r="D21" i="4"/>
  <c r="D18" i="5"/>
  <c r="C13" i="6"/>
  <c r="C21" i="6"/>
  <c r="B30" i="6"/>
  <c r="C37" i="6"/>
  <c r="C43" i="6"/>
  <c r="B35" i="10"/>
  <c r="B40" i="10"/>
  <c r="C40" i="10" s="1"/>
  <c r="C8" i="13"/>
  <c r="C13" i="13"/>
  <c r="C18" i="13"/>
  <c r="C25" i="13"/>
  <c r="C38" i="13"/>
  <c r="C42" i="13"/>
  <c r="C46" i="13"/>
  <c r="C50" i="13"/>
  <c r="C54" i="13"/>
  <c r="C58" i="13"/>
  <c r="C63" i="13"/>
  <c r="C77" i="13"/>
  <c r="C5" i="13"/>
  <c r="C6" i="13" s="1"/>
  <c r="C9" i="13"/>
  <c r="C14" i="13"/>
  <c r="C19" i="13"/>
  <c r="C30" i="13"/>
  <c r="C39" i="13"/>
  <c r="C43" i="13"/>
  <c r="C47" i="13"/>
  <c r="C51" i="13"/>
  <c r="C55" i="13"/>
  <c r="C59" i="13"/>
  <c r="C78" i="13"/>
  <c r="C12" i="13"/>
  <c r="C17" i="13"/>
  <c r="C23" i="13"/>
  <c r="C34" i="13"/>
  <c r="C37" i="13"/>
  <c r="C41" i="13"/>
  <c r="C45" i="13"/>
  <c r="C49" i="13"/>
  <c r="C53" i="13"/>
  <c r="C57" i="13"/>
  <c r="C62" i="13"/>
  <c r="C76" i="13"/>
  <c r="C11" i="8"/>
  <c r="C25" i="7"/>
  <c r="C37" i="7"/>
  <c r="C10" i="8"/>
  <c r="C15" i="8"/>
  <c r="C19" i="8"/>
  <c r="C26" i="8"/>
  <c r="C39" i="8"/>
  <c r="C9" i="9"/>
  <c r="B11" i="9"/>
  <c r="B38" i="9" s="1"/>
  <c r="C16" i="9"/>
  <c r="C23" i="9"/>
  <c r="C27" i="9"/>
  <c r="C31" i="9"/>
  <c r="C35" i="9"/>
  <c r="C7" i="8"/>
  <c r="C16" i="8"/>
  <c r="C23" i="8"/>
  <c r="C27" i="8"/>
  <c r="C31" i="8"/>
  <c r="C6" i="9"/>
  <c r="C28" i="9"/>
  <c r="C32" i="9"/>
  <c r="C36" i="9"/>
  <c r="C17" i="8"/>
  <c r="C15" i="9"/>
  <c r="C19" i="9"/>
  <c r="C20" i="9" s="1"/>
  <c r="C26" i="9"/>
  <c r="C26" i="6"/>
  <c r="B27" i="6"/>
  <c r="C27" i="6" s="1"/>
  <c r="C12" i="6"/>
  <c r="C22" i="6"/>
  <c r="C25" i="6"/>
  <c r="C35" i="6"/>
  <c r="C41" i="6"/>
  <c r="D5" i="4"/>
  <c r="D11" i="4"/>
  <c r="D16" i="4"/>
  <c r="D20" i="4"/>
  <c r="D8" i="5"/>
  <c r="C10" i="5"/>
  <c r="F4" i="16" s="1"/>
  <c r="D17" i="5"/>
  <c r="D25" i="5"/>
  <c r="E5" i="4"/>
  <c r="E11" i="4"/>
  <c r="E16" i="4"/>
  <c r="E8" i="5"/>
  <c r="E17" i="5"/>
  <c r="D5" i="3"/>
  <c r="E6" i="3"/>
  <c r="E8" i="3"/>
  <c r="D17" i="3"/>
  <c r="D8" i="3"/>
  <c r="C11" i="2"/>
  <c r="E20" i="5" l="1"/>
  <c r="D20" i="5"/>
  <c r="D22" i="5"/>
  <c r="E22" i="5"/>
  <c r="B85" i="13"/>
  <c r="C14" i="5"/>
  <c r="F5" i="16" s="1"/>
  <c r="B23" i="2"/>
  <c r="C23" i="2" s="1"/>
  <c r="E15" i="5"/>
  <c r="D15" i="5"/>
  <c r="C28" i="5"/>
  <c r="C83" i="13"/>
  <c r="B10" i="2"/>
  <c r="B8" i="2" s="1"/>
  <c r="E9" i="4"/>
  <c r="D9" i="4"/>
  <c r="D15" i="3"/>
  <c r="B16" i="2"/>
  <c r="C8" i="14"/>
  <c r="G8" i="14" s="1"/>
  <c r="B5" i="2"/>
  <c r="O5" i="2" s="1"/>
  <c r="D21" i="3"/>
  <c r="B22" i="2"/>
  <c r="C5" i="15"/>
  <c r="G5" i="15" s="1"/>
  <c r="C17" i="2"/>
  <c r="C18" i="2"/>
  <c r="F2" i="16"/>
  <c r="C21" i="2"/>
  <c r="C19" i="2"/>
  <c r="C24" i="2"/>
  <c r="C6" i="15"/>
  <c r="G6" i="15" s="1"/>
  <c r="C7" i="15"/>
  <c r="G7" i="15" s="1"/>
  <c r="C177" i="11"/>
  <c r="F2" i="15"/>
  <c r="C30" i="6"/>
  <c r="B44" i="6"/>
  <c r="C44" i="6" s="1"/>
  <c r="C2" i="14"/>
  <c r="G2" i="14" s="1"/>
  <c r="C7" i="14"/>
  <c r="D18" i="3"/>
  <c r="E18" i="3"/>
  <c r="D11" i="14"/>
  <c r="C84" i="13"/>
  <c r="F11" i="14"/>
  <c r="C16" i="7"/>
  <c r="D2" i="15"/>
  <c r="C21" i="8"/>
  <c r="E3" i="15"/>
  <c r="C3" i="15" s="1"/>
  <c r="G3" i="15" s="1"/>
  <c r="D16" i="3"/>
  <c r="E16" i="3"/>
  <c r="C9" i="2"/>
  <c r="E15" i="3"/>
  <c r="C26" i="4"/>
  <c r="E26" i="4" s="1"/>
  <c r="E29" i="4" s="1"/>
  <c r="C16" i="6"/>
  <c r="D22" i="3"/>
  <c r="C55" i="11"/>
  <c r="C60" i="11"/>
  <c r="C14" i="3"/>
  <c r="C28" i="3"/>
  <c r="D28" i="3" s="1"/>
  <c r="C57" i="10"/>
  <c r="E19" i="5"/>
  <c r="D28" i="5"/>
  <c r="C7" i="2"/>
  <c r="C176" i="11"/>
  <c r="E19" i="3"/>
  <c r="D19" i="3"/>
  <c r="E28" i="4"/>
  <c r="C224" i="10"/>
  <c r="C28" i="10"/>
  <c r="C24" i="10"/>
  <c r="C12" i="10"/>
  <c r="C8" i="10"/>
  <c r="C7" i="10"/>
  <c r="C227" i="10"/>
  <c r="C43" i="10"/>
  <c r="C39" i="10"/>
  <c r="C37" i="10"/>
  <c r="C34" i="10"/>
  <c r="C32" i="10"/>
  <c r="C29" i="10"/>
  <c r="C26" i="10"/>
  <c r="C22" i="10"/>
  <c r="C14" i="10"/>
  <c r="C6" i="10"/>
  <c r="C25" i="10"/>
  <c r="C21" i="10"/>
  <c r="C16" i="10"/>
  <c r="C13" i="10"/>
  <c r="C9" i="10"/>
  <c r="C27" i="10"/>
  <c r="C23" i="10"/>
  <c r="C15" i="10"/>
  <c r="C11" i="10"/>
  <c r="C69" i="10"/>
  <c r="C44" i="10"/>
  <c r="C33" i="10"/>
  <c r="C38" i="10"/>
  <c r="C35" i="13"/>
  <c r="XFD35" i="13" s="1"/>
  <c r="C35" i="10"/>
  <c r="C11" i="9"/>
  <c r="C10" i="9"/>
  <c r="C26" i="5" l="1"/>
  <c r="F7" i="16" s="1"/>
  <c r="E28" i="5"/>
  <c r="C10" i="2"/>
  <c r="D12" i="14"/>
  <c r="C5" i="2"/>
  <c r="B15" i="2"/>
  <c r="C8" i="2"/>
  <c r="C22" i="2"/>
  <c r="C2" i="15"/>
  <c r="G2" i="15" s="1"/>
  <c r="C11" i="14"/>
  <c r="G11" i="14" s="1"/>
  <c r="C85" i="13"/>
  <c r="F12" i="14"/>
  <c r="C43" i="7"/>
  <c r="D8" i="15"/>
  <c r="C38" i="9"/>
  <c r="F8" i="15"/>
  <c r="C38" i="8"/>
  <c r="E8" i="15"/>
  <c r="E28" i="3"/>
  <c r="D26" i="4"/>
  <c r="C29" i="4"/>
  <c r="D29" i="4" s="1"/>
  <c r="E7" i="16"/>
  <c r="C26" i="3"/>
  <c r="C16" i="2"/>
  <c r="E26" i="3"/>
  <c r="E29" i="3" s="1"/>
  <c r="C20" i="2"/>
  <c r="C29" i="5"/>
  <c r="D29" i="5" s="1"/>
  <c r="E26" i="5"/>
  <c r="E29" i="5" s="1"/>
  <c r="D26" i="5"/>
  <c r="C225" i="10"/>
  <c r="C226" i="10"/>
  <c r="B27" i="2" l="1"/>
  <c r="C12" i="14"/>
  <c r="D26" i="3"/>
  <c r="B29" i="2"/>
  <c r="C29" i="2" s="1"/>
  <c r="C8" i="15"/>
  <c r="G8" i="15" s="1"/>
  <c r="C29" i="3"/>
  <c r="D29" i="3" s="1"/>
  <c r="D7" i="16"/>
  <c r="C7" i="16" s="1"/>
  <c r="G7" i="16" s="1"/>
  <c r="C15" i="2"/>
  <c r="B30" i="2" l="1"/>
  <c r="O30" i="2" s="1"/>
  <c r="O27" i="2"/>
  <c r="O29" i="2" s="1"/>
  <c r="D9" i="16"/>
  <c r="C9" i="16" s="1"/>
  <c r="G9" i="16" s="1"/>
  <c r="D8" i="16"/>
  <c r="C8" i="16" s="1"/>
  <c r="G8" i="16" s="1"/>
  <c r="D10" i="16"/>
  <c r="C10" i="16" s="1"/>
  <c r="G10" i="16" s="1"/>
  <c r="D4" i="16"/>
  <c r="C4" i="16" s="1"/>
  <c r="G4" i="16" s="1"/>
  <c r="D6" i="16"/>
  <c r="C6" i="16" s="1"/>
  <c r="G6" i="16" s="1"/>
  <c r="D3" i="16"/>
  <c r="C3" i="16" s="1"/>
  <c r="G3" i="16" s="1"/>
  <c r="D2" i="16"/>
  <c r="C2" i="16" s="1"/>
  <c r="G2" i="16" s="1"/>
  <c r="D5" i="16"/>
  <c r="C5" i="16" s="1"/>
  <c r="G5" i="16" s="1"/>
  <c r="C27" i="2"/>
  <c r="C30" i="2" l="1"/>
  <c r="O31" i="2"/>
</calcChain>
</file>

<file path=xl/sharedStrings.xml><?xml version="1.0" encoding="utf-8"?>
<sst xmlns="http://schemas.openxmlformats.org/spreadsheetml/2006/main" count="1497" uniqueCount="270">
  <si>
    <t xml:space="preserve"> קרן אקדמאים מצרפי - נספח 1</t>
  </si>
  <si>
    <t>תאור</t>
  </si>
  <si>
    <t>אלפי ש''ח</t>
  </si>
  <si>
    <t>שיעור אחזקה</t>
  </si>
  <si>
    <t>1. סה"כ עמלות קניה ומכירה</t>
  </si>
  <si>
    <t>א. סך עמלות קניה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</si>
  <si>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</si>
  <si>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</si>
  <si>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</si>
  <si>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</si>
  <si>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</si>
  <si>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בני"ע לא סחירים שאינם לצורך מימון פרויקטים</t>
  </si>
  <si>
    <t>ב. סך הוצאות הנובעות ממימון פרויקטים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</si>
  <si>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</si>
  <si>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</si>
  <si>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</si>
  <si>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</si>
  <si>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השקעות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</si>
  <si>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</si>
  <si>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</si>
  <si>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</si>
  <si>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</si>
  <si>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</si>
  <si>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</si>
  <si>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</si>
  <si>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</si>
  <si>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הכול הוצאות ישירות</t>
  </si>
  <si>
    <t>7. שיעור הוצאות ישירות</t>
  </si>
  <si>
    <t>א. שיעור סך ההוצאות הישירות, שההוצאה בגינן מוגבלת לשיעור של 0.25% לפי התקנות (באחוזים) (סיכום סעיפים 3א, 4, 5ב חלקי סך נכסים לסוף שנה קודמת)</t>
  </si>
  <si>
    <t>ב. שיעור סך הוצאות ישירות מסך נכסים לסוף שנה קודמת (באחוזים) (סעיף 6 חלקי סך נכסים לסוף שנה קודמת)</t>
  </si>
  <si>
    <t>סך הכל נכסים לסוף תקופה</t>
  </si>
  <si>
    <t>סך הכל נכסים לסוף שנה קודמת</t>
  </si>
  <si>
    <t>יתרת נכסים ממוצעת לסוף תקופה</t>
  </si>
  <si>
    <t>קוד לאוצר</t>
  </si>
  <si>
    <t>שווי בשקלים</t>
  </si>
  <si>
    <t>YT100</t>
  </si>
  <si>
    <t>YT101</t>
  </si>
  <si>
    <t>YT102</t>
  </si>
  <si>
    <t>YT103</t>
  </si>
  <si>
    <t>YT104</t>
  </si>
  <si>
    <t>YT105</t>
  </si>
  <si>
    <t>YT106</t>
  </si>
  <si>
    <t>YT107</t>
  </si>
  <si>
    <t>YT108</t>
  </si>
  <si>
    <t>YT109</t>
  </si>
  <si>
    <t>YT110</t>
  </si>
  <si>
    <t>YT111</t>
  </si>
  <si>
    <t>YT112</t>
  </si>
  <si>
    <t>YT113</t>
  </si>
  <si>
    <t>YT114</t>
  </si>
  <si>
    <t>YT115</t>
  </si>
  <si>
    <t>YT116</t>
  </si>
  <si>
    <t>YT117</t>
  </si>
  <si>
    <t>YT118</t>
  </si>
  <si>
    <t>YT119</t>
  </si>
  <si>
    <t>YT120</t>
  </si>
  <si>
    <t xml:space="preserve"> קרן אקדמאים מצרפי - נספח 2</t>
  </si>
  <si>
    <t>ברוקרז-עמלות קניה ומכירה בגין עסקאות בני"ע סחירים</t>
  </si>
  <si>
    <t>צדדים קשורים</t>
  </si>
  <si>
    <t>סה"כ לצדדים קשורים</t>
  </si>
  <si>
    <t>צדדים שאינם קשורים</t>
  </si>
  <si>
    <t>פועלים סהר</t>
  </si>
  <si>
    <t>בנק לאומי</t>
  </si>
  <si>
    <t>הבנק הבינלאומי</t>
  </si>
  <si>
    <t>בנק מזרחי</t>
  </si>
  <si>
    <t>מיטב ד"ש</t>
  </si>
  <si>
    <t>סה"כ לצדדים שאינם קשורים</t>
  </si>
  <si>
    <t>סך עמלות ברוקרז</t>
  </si>
  <si>
    <t>עמלות קסטודיאן</t>
  </si>
  <si>
    <t>קסטודיאן א</t>
  </si>
  <si>
    <t>קסטודיאן ב</t>
  </si>
  <si>
    <t>אחרים</t>
  </si>
  <si>
    <t>סך עמלות קסטודיאן</t>
  </si>
  <si>
    <t>הוצאות הנובעת מהשקעה בני"ע לא סחירים או ממתן הלוואה</t>
  </si>
  <si>
    <t>סך הוצאות הנובעות מהשקעה בני"ע לא סחירים וממתן הלוואה</t>
  </si>
  <si>
    <t>הוצאה הנובעת מהשקעה בזכויות במקרקעין</t>
  </si>
  <si>
    <t>גוף/יחיד א</t>
  </si>
  <si>
    <t>גוף/יחיד ב</t>
  </si>
  <si>
    <t>סך הוצאות הנובעות מהשקעה בזכויות במקרקעין</t>
  </si>
  <si>
    <t>הוצאה הנובעת בעד ניהול תביעה או תובנה</t>
  </si>
  <si>
    <t>סך הוצאות הנובעות בעד ניהול תביעה או תובנה</t>
  </si>
  <si>
    <t>הוצאה הנובעת ממתן משכנתא</t>
  </si>
  <si>
    <t>סך הוצאות בעד מתן משכנתאות</t>
  </si>
  <si>
    <t>סך הכול עמלות והוצאות</t>
  </si>
  <si>
    <t>הערה(*) הסכום כולל עמלת ברוקרז חו"ל ועמלת סוכן</t>
  </si>
  <si>
    <t>פרוט צדדים קשורים - ברוקרים</t>
  </si>
  <si>
    <t xml:space="preserve"> קרן אקדמאים מצרפי - נספח 3</t>
  </si>
  <si>
    <t>תשלום הנובע מהשקעה בקרנות השקעה בישראלים</t>
  </si>
  <si>
    <t>יסודות נדלן ג</t>
  </si>
  <si>
    <t xml:space="preserve">אי בי אי קונסיומר קרדיט </t>
  </si>
  <si>
    <t>סך תשלומים הנובעים מהשקעה בקרנות השקעה בישראלים</t>
  </si>
  <si>
    <t>תשלום הנובע מהשקעה בקרנות השקעה בחו"ל</t>
  </si>
  <si>
    <t>אלפא הזדמנויות</t>
  </si>
  <si>
    <t>המילטון קו אינווסט IV</t>
  </si>
  <si>
    <t>HarbourVest 2018</t>
  </si>
  <si>
    <t>Colchis Income Fund</t>
  </si>
  <si>
    <t>נוקד אופורטיוניטי (ישראל)</t>
  </si>
  <si>
    <t>LLCP  VI</t>
  </si>
  <si>
    <t>HarbourVest 2018 Global Feeder Fund L.P.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</si>
  <si>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</si>
  <si>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</si>
  <si>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</si>
  <si>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</si>
  <si>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תשלומים למנהלי תיקים זרים</t>
  </si>
  <si>
    <t>תשלום בגין השקעה בקרנות נאמנות</t>
  </si>
  <si>
    <t>קרן נאמנות ישראלים</t>
  </si>
  <si>
    <t>פרוט קרנות נאמנות ישראלי</t>
  </si>
  <si>
    <t>סה"כ קרן נאמנות ישראלים</t>
  </si>
  <si>
    <t>קרן חוץ</t>
  </si>
  <si>
    <t>AVIVA INV-EURPN EQ INC FD</t>
  </si>
  <si>
    <t>KOTAK FUNDS-IND MIDCP-JA</t>
  </si>
  <si>
    <t>AVIVA-GL INV GR CO BD-I U</t>
  </si>
  <si>
    <t>L1 CAPITAL INTERNATIONAL</t>
  </si>
  <si>
    <t>TRIGON-NEW EUROPE-A EUR</t>
  </si>
  <si>
    <t>SCHRODER INT-GRT CHNA-IZ</t>
  </si>
  <si>
    <t>סה"כ קרנות נאמנות חוץ</t>
  </si>
  <si>
    <t>סך תשלומים בגין השקעה בקרנות נאמנות</t>
  </si>
  <si>
    <t>תשלום בגין השקעה בתעודות סל</t>
  </si>
  <si>
    <t>תעודות סל ישראלים</t>
  </si>
  <si>
    <t>מיטב תכלית קרנות נאמנות ב</t>
  </si>
  <si>
    <t>מגדל קרנות נאמנות בע"מ</t>
  </si>
  <si>
    <t>הראל סל</t>
  </si>
  <si>
    <t>סה"כ תעודות סל ישראלים</t>
  </si>
  <si>
    <t>תעודות סל זרה</t>
  </si>
  <si>
    <t>HEALTH CARE SELECT SECTOR</t>
  </si>
  <si>
    <t>FINANCIAL SELECT SECTOR S</t>
  </si>
  <si>
    <t>CONSUMER DISCRETIONARY SE</t>
  </si>
  <si>
    <t>ENERGY SELECT SECTOR SPDR</t>
  </si>
  <si>
    <t>SPDR S&amp;P BIOTECH ETF</t>
  </si>
  <si>
    <t>REAL ESTATE SELECT SECT S</t>
  </si>
  <si>
    <t>COLUMBIA EMERGING MARKETS</t>
  </si>
  <si>
    <t>KRANESHARES CSI CHINA INT</t>
  </si>
  <si>
    <t>SPDR S&amp;P CHINA ETF</t>
  </si>
  <si>
    <t>ISH EUR600 FOOD&amp;BEVERAGE</t>
  </si>
  <si>
    <t>ISHARES CORE MSCI EMERGIN</t>
  </si>
  <si>
    <t>ISHARES MSCI INDIA ETF</t>
  </si>
  <si>
    <t>SPDR DJIA TRUST</t>
  </si>
  <si>
    <t>TECHNOLOGY SELECT SECT SP</t>
  </si>
  <si>
    <t>CONSUMER STAPLES SPDR</t>
  </si>
  <si>
    <t>SPDR S&amp;P 500 ETF TRUST</t>
  </si>
  <si>
    <t>ISHARES MSCI EMERGING MAR</t>
  </si>
  <si>
    <t>WISDOMTREE JAPAN USD HEDG</t>
  </si>
  <si>
    <t>ISHARES CORE SPI CH</t>
  </si>
  <si>
    <t>KRANESH BOSERA MSCI CHINA</t>
  </si>
  <si>
    <t>INVESCO KBW BANK ETF</t>
  </si>
  <si>
    <t>INVESCO QQQ TRUST SERIES</t>
  </si>
  <si>
    <t>INVESCO S&amp;P 500 EQUAL WEI</t>
  </si>
  <si>
    <t>INDUSTRIAL SELECT SECT SP</t>
  </si>
  <si>
    <t>WISDOMTREE EUROPE HEDGED</t>
  </si>
  <si>
    <t>VANGUARD FINANCIALS ETF</t>
  </si>
  <si>
    <t>VANGUARD FTSE EMERGING MA</t>
  </si>
  <si>
    <t>COMM SERV SELECT SECTOR S</t>
  </si>
  <si>
    <t>SPDR S&amp;P HEALTH CARE EQUI</t>
  </si>
  <si>
    <t>ISHARES CORE EURO STOXX50</t>
  </si>
  <si>
    <t>VANG FTSE250 GBPD</t>
  </si>
  <si>
    <t>INVESCO SOLAR ETF</t>
  </si>
  <si>
    <t>WISDOMTREE JAPAN HEDGED E</t>
  </si>
  <si>
    <t>VANGUARD S&amp;P 500 ETF</t>
  </si>
  <si>
    <t>ISHARES CHINA LARGE-CAP E</t>
  </si>
  <si>
    <t>ISHARES U.S. MEDICAL DEVI</t>
  </si>
  <si>
    <t>ISHARES MSCI ALL COUNTRY</t>
  </si>
  <si>
    <t>ISHARES RUSSELL 2000 ETF</t>
  </si>
  <si>
    <t>ISHARES MSCI CHINA ETF</t>
  </si>
  <si>
    <t>סה"כ תעודות סל זרות</t>
  </si>
  <si>
    <t>סך תשלומים בגין השקעה בתעודות סל</t>
  </si>
  <si>
    <t>סך הכול עמלות ניהול חיצוני</t>
  </si>
  <si>
    <t>SPDR S&amp;P HOMEBUILDERS ETF</t>
  </si>
  <si>
    <t>פרוט מהשקעות בקרנות השקעה בישראל</t>
  </si>
  <si>
    <t>פרוט מהשקעות בקרנות השקעה בחו"ל</t>
  </si>
  <si>
    <t>פרוט קרנות נאמנות חו"ל</t>
  </si>
  <si>
    <t>קסם סל</t>
  </si>
  <si>
    <t>תכלית תעודת סל</t>
  </si>
  <si>
    <t>פרוט תעודות סל חו"ל</t>
  </si>
  <si>
    <t>נוקד אקוויטי</t>
  </si>
  <si>
    <t>הראל סל בע"מ</t>
  </si>
  <si>
    <t>קסם תעודות סל ומוצרי מדדי</t>
  </si>
  <si>
    <t>קסם קרנות נאמנות בע"מ</t>
  </si>
  <si>
    <t>GLOBAL X LITHIUM &amp; BATTER</t>
  </si>
  <si>
    <t>US GLOBAL JETS ETF</t>
  </si>
  <si>
    <t>FIRST TRUST NASDAQ CYBERS</t>
  </si>
  <si>
    <t>GLOBAL X CYBERSECURITY ET</t>
  </si>
  <si>
    <t>ISHARES CORE NIKKEI 225 E</t>
  </si>
  <si>
    <t>LYXOR MSCI EMERG MARKET E</t>
  </si>
  <si>
    <t>ETFMG TRAVEL TECH ETF</t>
  </si>
  <si>
    <t>ISHARES MSCI INTERNATIONA</t>
  </si>
  <si>
    <t>ISHARES U.S. HOME CONSTRU</t>
  </si>
  <si>
    <t>INVESCO WILDERHILL CLEAN</t>
  </si>
  <si>
    <t>INVESCO CHINA TECHNOLOGY</t>
  </si>
  <si>
    <t>LYXOR EURO STOXX BANKS DR</t>
  </si>
  <si>
    <t>GLOBAL X CLOUD COMPUTING</t>
  </si>
  <si>
    <t>LYXOR EURSTX600 HEALTHCAR</t>
  </si>
  <si>
    <t>WISDOMTREE CLOUD COMPUTIN</t>
  </si>
  <si>
    <t>ISHARES IBOXX HIGH YLD CO</t>
  </si>
  <si>
    <t>LYXOR S&amp;P 500</t>
  </si>
  <si>
    <t>VANECK VIDEO GAMING ESPOR</t>
  </si>
  <si>
    <t>FIRST TRUST NASDAQ CLEAN</t>
  </si>
  <si>
    <t>LYXOR NEW ENERGY DR</t>
  </si>
  <si>
    <t>INVESCO DWA HEALTHCARE MO</t>
  </si>
  <si>
    <t>WISDMTREE EMERG MKT EX-ST</t>
  </si>
  <si>
    <t>VANGUARD S&amp;P MID-CAP 400</t>
  </si>
  <si>
    <t>INVESCO DYNAMIC SEMICONDU</t>
  </si>
  <si>
    <t>FRK FTSE KOREA UCITS ETF</t>
  </si>
  <si>
    <t>LYXOR MSCI FUTURE MOBILIT</t>
  </si>
  <si>
    <t>ISHARES EV &amp; E DRIV TECH</t>
  </si>
  <si>
    <t>SPDR S&amp;P BANK ETF</t>
  </si>
  <si>
    <t>SPDR PORTFOLIO INTERMEDIA</t>
  </si>
  <si>
    <t>UBS ETF MSCI EMU USD-H AC</t>
  </si>
  <si>
    <t>מור ניהול קרנות נאמנות</t>
  </si>
  <si>
    <t>הראל ניהול קרנות נאמנות ב</t>
  </si>
  <si>
    <t>פסגות קרנות נאמנות בע"מ</t>
  </si>
  <si>
    <t>ISHARES IBOXX INVESTMENT</t>
  </si>
  <si>
    <t>SPDR S&amp;P REGIONAL BANKING</t>
  </si>
  <si>
    <t>סה"כ</t>
  </si>
  <si>
    <t>כללי</t>
  </si>
  <si>
    <t>אגח</t>
  </si>
  <si>
    <t>מניות</t>
  </si>
  <si>
    <t>הפרש</t>
  </si>
  <si>
    <t>אביב ונצרס 1</t>
  </si>
  <si>
    <t>אלקטרה נדלן 2</t>
  </si>
  <si>
    <t>יסודות נדל"ן ג</t>
  </si>
  <si>
    <t>מדיקה 2</t>
  </si>
  <si>
    <t>תשתיות ישראל 4</t>
  </si>
  <si>
    <t>המילטון 2018</t>
  </si>
  <si>
    <t>VESTAR  VII-A</t>
  </si>
  <si>
    <t xml:space="preserve">פורמה </t>
  </si>
  <si>
    <t>LYXOR MSCI CHINA UCITS ET</t>
  </si>
  <si>
    <t>ליקסור אינדקס</t>
  </si>
  <si>
    <t>INVESCO US SENIOR LOAN-G</t>
  </si>
  <si>
    <t>CS NOVA LX GL SEN LOAN-EB</t>
  </si>
  <si>
    <t>למחצית השנה שהסתיימה ביום: 30/06/2020</t>
  </si>
  <si>
    <t>הגידול בסכום ההוצאות הישירות</t>
  </si>
  <si>
    <t>הגידול הנובע מקיטון בנכסים</t>
  </si>
  <si>
    <t>תקין</t>
  </si>
  <si>
    <t>SPDR PORTFOLIO S&amp;P 500 ET</t>
  </si>
  <si>
    <t>ISHARES BIOTECHNOLOGY ETF</t>
  </si>
  <si>
    <t>ISHARES SEMICONDUCTOR ETF</t>
  </si>
  <si>
    <t>LYXOR CAC 40</t>
  </si>
  <si>
    <t>X DAX</t>
  </si>
  <si>
    <t>FIRST TRUST CLOUD COMPUTI</t>
  </si>
  <si>
    <t>INVESCO S&amp;P 500 ACC</t>
  </si>
  <si>
    <t>CHINAAMC ETF SERIES - CH-</t>
  </si>
  <si>
    <t>VANGUARD RUSSELL 2000 ETF</t>
  </si>
  <si>
    <t>ISHARES CORE DAX DE EUR A</t>
  </si>
  <si>
    <t>E-FUNDSETTLE</t>
  </si>
  <si>
    <t>CIFC SENIOR SECOLOSR A-14</t>
  </si>
  <si>
    <t>GLOBAL X MSCI CHINA CONSU</t>
  </si>
  <si>
    <t>HANGSENG CHINA ENT INDEX-</t>
  </si>
  <si>
    <t>KRANESHARES MSCI CHINA CL</t>
  </si>
  <si>
    <t>VANECK JR GOLD MINERS</t>
  </si>
  <si>
    <t>VANECK SEMICONDUCTOR</t>
  </si>
  <si>
    <t xml:space="preserve"> קופה 1762 ק. אקדמאים מ.אג"ח  מספר אישור: 1451 סך התשלומים ששולמו בגין כל סוג של הוצאה ישירה לתשעת החודשים שנסתיימו ביום: 30/09/2021  נספח 2 </t>
  </si>
  <si>
    <t>המילטון 2020</t>
  </si>
  <si>
    <t>MV Credit Senior II</t>
  </si>
  <si>
    <t>Deka MDAX UCITS ETF</t>
  </si>
  <si>
    <t xml:space="preserve"> קופה 1762 ק. אקדמאים מ.אג"ח   מספר אישור: 1451 סך התשלומים ששולמו בגין כל סוג של הוצאה ישירה לשנה שנסתיימה ביום: 31/12/2021  נספח 3  </t>
  </si>
  <si>
    <t xml:space="preserve"> קופה 1761 ק.אקדמאים מ.מניות   מספר אישור: 1452 סך התשלומים ששולמו בגין כל סוג של הוצאה ישירה לשנה שנסתיימה ביום: 31/12/2021 נספח 3 </t>
  </si>
  <si>
    <t xml:space="preserve"> קופה 1761 ק.אקדמאים מ.מניות   מספר אישור: 1452 סך התשלומים ששולמו בגין כל סוג של הוצאה ישירה לשנה שנסתיימה ביום: 31/12/2021 נספח 2 </t>
  </si>
  <si>
    <t xml:space="preserve"> קופה 1127 קרן אקדמאים מ.כללי   מספר אישור: 288 סך התשלומים ששולמו בגין כל סוג של הוצאה ישירה לשנה שנסתיימה ביום: 31/12/2021 נספח 3 </t>
  </si>
  <si>
    <t>CS NOVA LUX GLB SEN LN-MB</t>
  </si>
  <si>
    <t>LYXOR EURSTX600 OIL&amp;GAS</t>
  </si>
  <si>
    <t xml:space="preserve"> קופה 1127 קרן אקדמאים מ.כללי   מספר אישור: 288 סך התשלומים ששולמו בגין כל סוג של הוצאה ישירה לשנה שנסתיימה ביום: 31/12/2021 נספח 2 </t>
  </si>
  <si>
    <t xml:space="preserve"> קופה 1127 קרן אקדמאים מ.כללי   מספר אישור: 288 סך התשלומים ששולמו בגין כל סוג של הוצאה ישירה לשנה שנסתיימה ביום: 31/12/2021 נספח 1 </t>
  </si>
  <si>
    <t xml:space="preserve">לשנה שנסתיימהביום: 31/12/2021 </t>
  </si>
  <si>
    <t xml:space="preserve">לשנה שנסתיימה ביום: 31/12/2021 </t>
  </si>
  <si>
    <t xml:space="preserve">בנק פועלים </t>
  </si>
  <si>
    <t>בנק פועלים</t>
  </si>
  <si>
    <t>תא ריק</t>
  </si>
  <si>
    <t>סוף מסמך</t>
  </si>
  <si>
    <t xml:space="preserve">                    קופה 1762 ק. אקדמאים מ.אג"ח   מספר אישור: 1451 סך התשלומים ששולמו בגין כל סוג של הוצאה ישירה לשנה שנסתיימה ביום: 31/12/2021 נספח 2 </t>
  </si>
  <si>
    <t xml:space="preserve">                   קופה 1761 ק.אקדמאים מ.מניות   מספר אישור: 1452 סך התשלומים ששולמו בגין כל סוג של הוצאה ישירה לשנה שנסתיימה ביום: 31/12/2021 נספח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</si>
</sst>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* #,##0.00_-;\-* #,##0.00_-;_-* &quot;-&quot;??_-;_-@_-"/>
    <numFmt numFmtId="165" formatCode="0.0000%"/>
    <numFmt numFmtId="166" formatCode="0.000"/>
    <numFmt numFmtId="167" formatCode="0.0"/>
    <numFmt numFmtId="168" formatCode="0.000%"/>
    <numFmt numFmtId="169" formatCode="_-* #,##0_-;\-* #,##0_-;_-* &quot;-&quot;??_-;_-@_-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  <font>
      <b/>
      <sz val="11"/>
      <color rgb="FFFF0000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  <charset val="177"/>
    </font>
    <font>
      <b/>
      <sz val="12"/>
      <name val="Arial"/>
      <family val="2"/>
    </font>
    <font>
      <sz val="12"/>
      <color theme="1"/>
      <name val="David"/>
      <family val="2"/>
    </font>
    <font>
      <sz val="11"/>
      <name val="Calibri"/>
      <family val="2"/>
    </font>
    <font>
      <b/>
      <sz val="15"/>
      <color theme="3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11"/>
      <color rgb="FFE7E6E6"/>
      <name val="Arial"/>
      <family val="2"/>
      <charset val="177"/>
      <scheme val="minor"/>
    </font>
    <font>
      <b/>
      <sz val="11"/>
      <color rgb="FFE7E6E6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b/>
      <sz val="11"/>
      <color rgb="FFE7E6E6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20" fillId="0" borderId="2" applyNumberFormat="0" applyFill="0" applyAlignment="0" applyProtection="0"/>
  </cellStyleXfs>
  <cellXfs count="218">
    <xf numFmtId="0" fontId="0" fillId="0" borderId="0" xfId="0"/>
    <xf numFmtId="0" fontId="0" fillId="0" borderId="0" xfId="0" applyAlignment="1">
      <alignment readingOrder="2"/>
    </xf>
    <xf numFmtId="0" fontId="3" fillId="2" borderId="0" xfId="0" applyFont="1" applyFill="1" applyAlignment="1">
      <alignment horizontal="right" readingOrder="2"/>
    </xf>
    <xf numFmtId="164" fontId="3" fillId="2" borderId="0" xfId="1" applyFont="1" applyFill="1" applyAlignment="1">
      <alignment horizontal="right" readingOrder="2"/>
    </xf>
    <xf numFmtId="165" fontId="3" fillId="2" borderId="0" xfId="2" applyNumberFormat="1" applyFont="1" applyFill="1"/>
    <xf numFmtId="0" fontId="3" fillId="0" borderId="0" xfId="0" applyFont="1" applyAlignment="1">
      <alignment horizontal="right" readingOrder="2"/>
    </xf>
    <xf numFmtId="164" fontId="4" fillId="0" borderId="0" xfId="1" applyFont="1" applyFill="1" applyAlignment="1">
      <alignment horizontal="right" readingOrder="2"/>
    </xf>
    <xf numFmtId="165" fontId="3" fillId="0" borderId="0" xfId="2" applyNumberFormat="1" applyFont="1"/>
    <xf numFmtId="0" fontId="3" fillId="0" borderId="0" xfId="0" applyFont="1" applyFill="1" applyAlignment="1">
      <alignment horizontal="right" readingOrder="2"/>
    </xf>
    <xf numFmtId="0" fontId="0" fillId="0" borderId="0" xfId="0" applyFill="1"/>
    <xf numFmtId="165" fontId="3" fillId="0" borderId="0" xfId="2" applyNumberFormat="1" applyFont="1" applyFill="1"/>
    <xf numFmtId="164" fontId="3" fillId="0" borderId="0" xfId="1" applyFont="1" applyFill="1" applyAlignment="1">
      <alignment horizontal="right" readingOrder="2"/>
    </xf>
    <xf numFmtId="9" fontId="3" fillId="0" borderId="0" xfId="2" applyNumberFormat="1" applyFont="1"/>
    <xf numFmtId="164" fontId="3" fillId="0" borderId="0" xfId="0" applyNumberFormat="1" applyFont="1"/>
    <xf numFmtId="0" fontId="2" fillId="0" borderId="0" xfId="0" applyFont="1" applyAlignment="1">
      <alignment readingOrder="2"/>
    </xf>
    <xf numFmtId="0" fontId="2" fillId="0" borderId="0" xfId="0" applyFont="1" applyAlignment="1">
      <alignment horizontal="right" readingOrder="2"/>
    </xf>
    <xf numFmtId="0" fontId="6" fillId="0" borderId="0" xfId="0" applyFont="1" applyBorder="1"/>
    <xf numFmtId="0" fontId="6" fillId="0" borderId="0" xfId="0" applyFont="1" applyAlignment="1">
      <alignment readingOrder="2"/>
    </xf>
    <xf numFmtId="164" fontId="6" fillId="0" borderId="0" xfId="1" applyFont="1" applyAlignment="1">
      <alignment readingOrder="2"/>
    </xf>
    <xf numFmtId="0" fontId="7" fillId="2" borderId="0" xfId="0" applyFont="1" applyFill="1" applyAlignment="1">
      <alignment horizontal="right" readingOrder="2"/>
    </xf>
    <xf numFmtId="164" fontId="7" fillId="2" borderId="0" xfId="1" applyFont="1" applyFill="1" applyBorder="1" applyAlignment="1">
      <alignment readingOrder="2"/>
    </xf>
    <xf numFmtId="0" fontId="6" fillId="2" borderId="0" xfId="0" applyFont="1" applyFill="1" applyAlignment="1">
      <alignment readingOrder="2"/>
    </xf>
    <xf numFmtId="0" fontId="7" fillId="0" borderId="0" xfId="0" applyFont="1" applyAlignment="1">
      <alignment horizontal="right" readingOrder="2"/>
    </xf>
    <xf numFmtId="165" fontId="7" fillId="0" borderId="0" xfId="2" applyNumberFormat="1" applyFont="1" applyAlignment="1">
      <alignment readingOrder="2"/>
    </xf>
    <xf numFmtId="164" fontId="6" fillId="0" borderId="0" xfId="0" applyNumberFormat="1" applyFont="1" applyAlignment="1">
      <alignment readingOrder="2"/>
    </xf>
    <xf numFmtId="165" fontId="7" fillId="2" borderId="0" xfId="2" applyNumberFormat="1" applyFont="1" applyFill="1" applyAlignment="1">
      <alignment readingOrder="2"/>
    </xf>
    <xf numFmtId="164" fontId="6" fillId="2" borderId="0" xfId="0" applyNumberFormat="1" applyFont="1" applyFill="1" applyAlignment="1">
      <alignment readingOrder="2"/>
    </xf>
    <xf numFmtId="0" fontId="7" fillId="0" borderId="0" xfId="0" applyFont="1" applyFill="1" applyAlignment="1">
      <alignment horizontal="right" readingOrder="2"/>
    </xf>
    <xf numFmtId="164" fontId="6" fillId="0" borderId="0" xfId="1" applyFont="1" applyFill="1" applyAlignment="1">
      <alignment readingOrder="2"/>
    </xf>
    <xf numFmtId="165" fontId="7" fillId="0" borderId="0" xfId="2" applyNumberFormat="1" applyFont="1" applyFill="1" applyAlignment="1">
      <alignment readingOrder="2"/>
    </xf>
    <xf numFmtId="0" fontId="6" fillId="0" borderId="0" xfId="0" applyFont="1" applyFill="1" applyAlignment="1">
      <alignment readingOrder="2"/>
    </xf>
    <xf numFmtId="164" fontId="7" fillId="2" borderId="0" xfId="1" applyFont="1" applyFill="1" applyAlignment="1">
      <alignment readingOrder="2"/>
    </xf>
    <xf numFmtId="164" fontId="7" fillId="0" borderId="0" xfId="1" applyFont="1"/>
    <xf numFmtId="0" fontId="7" fillId="0" borderId="0" xfId="0" applyFont="1" applyAlignment="1">
      <alignment readingOrder="2"/>
    </xf>
    <xf numFmtId="164" fontId="7" fillId="0" borderId="0" xfId="0" applyNumberFormat="1" applyFont="1" applyAlignment="1">
      <alignment readingOrder="2"/>
    </xf>
    <xf numFmtId="164" fontId="8" fillId="0" borderId="0" xfId="1" applyFont="1"/>
    <xf numFmtId="0" fontId="8" fillId="0" borderId="0" xfId="0" applyFont="1" applyAlignment="1">
      <alignment readingOrder="2"/>
    </xf>
    <xf numFmtId="164" fontId="2" fillId="0" borderId="0" xfId="0" applyNumberFormat="1" applyFont="1" applyAlignment="1">
      <alignment readingOrder="2"/>
    </xf>
    <xf numFmtId="0" fontId="2" fillId="0" borderId="0" xfId="0" applyFont="1" applyFill="1" applyAlignment="1">
      <alignment readingOrder="2"/>
    </xf>
    <xf numFmtId="10" fontId="7" fillId="0" borderId="0" xfId="2" applyNumberFormat="1" applyFont="1" applyAlignment="1">
      <alignment readingOrder="2"/>
    </xf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2" applyNumberFormat="1" applyFont="1"/>
    <xf numFmtId="0" fontId="3" fillId="2" borderId="0" xfId="0" applyFont="1" applyFill="1" applyAlignment="1">
      <alignment horizontal="right"/>
    </xf>
    <xf numFmtId="164" fontId="3" fillId="2" borderId="0" xfId="1" applyFont="1" applyFill="1" applyAlignment="1">
      <alignment horizontal="right"/>
    </xf>
    <xf numFmtId="0" fontId="4" fillId="0" borderId="0" xfId="4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3" fillId="3" borderId="0" xfId="0" applyFont="1" applyFill="1" applyAlignment="1">
      <alignment horizontal="right"/>
    </xf>
    <xf numFmtId="164" fontId="3" fillId="3" borderId="0" xfId="1" applyFont="1" applyFill="1" applyAlignment="1">
      <alignment horizontal="right"/>
    </xf>
    <xf numFmtId="165" fontId="3" fillId="3" borderId="0" xfId="2" applyNumberFormat="1" applyFont="1" applyFill="1"/>
    <xf numFmtId="164" fontId="0" fillId="0" borderId="0" xfId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right"/>
    </xf>
    <xf numFmtId="165" fontId="9" fillId="0" borderId="0" xfId="2" applyNumberFormat="1" applyFont="1"/>
    <xf numFmtId="0" fontId="10" fillId="2" borderId="0" xfId="0" applyFont="1" applyFill="1" applyAlignment="1">
      <alignment horizontal="right"/>
    </xf>
    <xf numFmtId="164" fontId="10" fillId="2" borderId="0" xfId="1" applyFont="1" applyFill="1"/>
    <xf numFmtId="165" fontId="10" fillId="2" borderId="0" xfId="2" applyNumberFormat="1" applyFont="1" applyFill="1"/>
    <xf numFmtId="164" fontId="9" fillId="0" borderId="0" xfId="1" applyFont="1"/>
    <xf numFmtId="0" fontId="10" fillId="3" borderId="0" xfId="0" applyFont="1" applyFill="1" applyAlignment="1">
      <alignment horizontal="right"/>
    </xf>
    <xf numFmtId="164" fontId="10" fillId="3" borderId="0" xfId="1" applyFont="1" applyFill="1"/>
    <xf numFmtId="165" fontId="10" fillId="3" borderId="0" xfId="2" applyNumberFormat="1" applyFont="1" applyFill="1"/>
    <xf numFmtId="164" fontId="10" fillId="0" borderId="0" xfId="1" applyFont="1"/>
    <xf numFmtId="165" fontId="10" fillId="0" borderId="0" xfId="2" applyNumberFormat="1" applyFont="1"/>
    <xf numFmtId="165" fontId="10" fillId="0" borderId="0" xfId="2" applyNumberFormat="1" applyFont="1" applyFill="1"/>
    <xf numFmtId="164" fontId="0" fillId="0" borderId="0" xfId="1" applyFont="1"/>
    <xf numFmtId="164" fontId="3" fillId="2" borderId="0" xfId="1" applyFont="1" applyFill="1" applyBorder="1"/>
    <xf numFmtId="164" fontId="3" fillId="3" borderId="0" xfId="1" applyFont="1" applyFill="1"/>
    <xf numFmtId="164" fontId="3" fillId="0" borderId="0" xfId="1" applyFont="1"/>
    <xf numFmtId="2" fontId="9" fillId="0" borderId="0" xfId="0" applyNumberFormat="1" applyFont="1"/>
    <xf numFmtId="0" fontId="12" fillId="0" borderId="0" xfId="0" applyFont="1" applyAlignment="1">
      <alignment horizontal="right"/>
    </xf>
    <xf numFmtId="2" fontId="11" fillId="0" borderId="0" xfId="0" applyNumberFormat="1" applyFont="1"/>
    <xf numFmtId="0" fontId="9" fillId="0" borderId="0" xfId="0" applyFont="1" applyFill="1" applyAlignment="1">
      <alignment horizontal="right"/>
    </xf>
    <xf numFmtId="2" fontId="9" fillId="0" borderId="0" xfId="2" applyNumberFormat="1" applyFont="1" applyFill="1"/>
    <xf numFmtId="164" fontId="9" fillId="0" borderId="0" xfId="1" applyFont="1" applyFill="1"/>
    <xf numFmtId="0" fontId="10" fillId="0" borderId="0" xfId="0" applyFont="1" applyFill="1" applyAlignment="1">
      <alignment horizontal="right"/>
    </xf>
    <xf numFmtId="164" fontId="10" fillId="0" borderId="0" xfId="1" applyNumberFormat="1" applyFont="1"/>
    <xf numFmtId="164" fontId="11" fillId="0" borderId="0" xfId="0" applyNumberFormat="1" applyFont="1"/>
    <xf numFmtId="164" fontId="3" fillId="2" borderId="0" xfId="1" applyFont="1" applyFill="1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164" fontId="6" fillId="0" borderId="0" xfId="1" applyFont="1" applyFill="1"/>
    <xf numFmtId="165" fontId="6" fillId="0" borderId="0" xfId="2" applyNumberFormat="1" applyFont="1" applyFill="1"/>
    <xf numFmtId="0" fontId="7" fillId="2" borderId="0" xfId="0" applyFont="1" applyFill="1" applyAlignment="1">
      <alignment horizontal="right"/>
    </xf>
    <xf numFmtId="164" fontId="7" fillId="2" borderId="0" xfId="1" applyFont="1" applyFill="1" applyBorder="1"/>
    <xf numFmtId="165" fontId="7" fillId="2" borderId="0" xfId="2" applyNumberFormat="1" applyFont="1" applyFill="1"/>
    <xf numFmtId="0" fontId="7" fillId="0" borderId="0" xfId="0" applyFont="1" applyAlignment="1">
      <alignment horizontal="right"/>
    </xf>
    <xf numFmtId="164" fontId="6" fillId="0" borderId="0" xfId="1" applyFont="1"/>
    <xf numFmtId="165" fontId="6" fillId="0" borderId="0" xfId="2" applyNumberFormat="1" applyFont="1"/>
    <xf numFmtId="0" fontId="6" fillId="0" borderId="0" xfId="0" applyFont="1" applyAlignment="1">
      <alignment horizontal="right"/>
    </xf>
    <xf numFmtId="165" fontId="0" fillId="0" borderId="0" xfId="0" applyNumberFormat="1"/>
    <xf numFmtId="165" fontId="4" fillId="0" borderId="0" xfId="2" applyNumberFormat="1" applyFont="1" applyFill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4" fontId="6" fillId="0" borderId="0" xfId="0" applyNumberFormat="1" applyFont="1" applyAlignment="1">
      <alignment readingOrder="2"/>
    </xf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/>
    <xf numFmtId="0" fontId="15" fillId="4" borderId="0" xfId="0" applyFont="1" applyFill="1" applyBorder="1" applyAlignment="1">
      <alignment horizontal="right"/>
    </xf>
    <xf numFmtId="164" fontId="15" fillId="4" borderId="0" xfId="1" applyFont="1" applyFill="1" applyBorder="1"/>
    <xf numFmtId="164" fontId="0" fillId="0" borderId="0" xfId="0" applyNumberFormat="1"/>
    <xf numFmtId="0" fontId="15" fillId="5" borderId="0" xfId="0" applyFont="1" applyFill="1" applyBorder="1" applyAlignment="1">
      <alignment horizontal="right"/>
    </xf>
    <xf numFmtId="164" fontId="15" fillId="5" borderId="0" xfId="1" applyFont="1" applyFill="1" applyBorder="1"/>
    <xf numFmtId="0" fontId="15" fillId="0" borderId="0" xfId="0" applyFont="1" applyFill="1" applyBorder="1" applyAlignment="1">
      <alignment horizontal="right"/>
    </xf>
    <xf numFmtId="164" fontId="15" fillId="0" borderId="0" xfId="1" applyNumberFormat="1" applyFont="1" applyFill="1" applyBorder="1"/>
    <xf numFmtId="164" fontId="16" fillId="0" borderId="0" xfId="0" applyNumberFormat="1" applyFont="1" applyFill="1" applyBorder="1" applyAlignment="1">
      <alignment readingOrder="2"/>
    </xf>
    <xf numFmtId="0" fontId="0" fillId="6" borderId="0" xfId="0" applyFill="1"/>
    <xf numFmtId="164" fontId="3" fillId="7" borderId="0" xfId="1" applyFont="1" applyFill="1" applyAlignment="1">
      <alignment horizontal="right" readingOrder="2"/>
    </xf>
    <xf numFmtId="0" fontId="3" fillId="6" borderId="0" xfId="0" applyFont="1" applyFill="1" applyAlignment="1">
      <alignment horizontal="right" readingOrder="2"/>
    </xf>
    <xf numFmtId="164" fontId="4" fillId="6" borderId="0" xfId="1" applyFont="1" applyFill="1" applyAlignment="1">
      <alignment horizontal="right" readingOrder="2"/>
    </xf>
    <xf numFmtId="165" fontId="3" fillId="6" borderId="0" xfId="2" applyNumberFormat="1" applyFont="1" applyFill="1"/>
    <xf numFmtId="164" fontId="3" fillId="6" borderId="0" xfId="1" applyFont="1" applyFill="1" applyAlignment="1">
      <alignment horizontal="right" readingOrder="2"/>
    </xf>
    <xf numFmtId="9" fontId="6" fillId="0" borderId="0" xfId="2" applyFont="1" applyFill="1" applyAlignment="1">
      <alignment readingOrder="2"/>
    </xf>
    <xf numFmtId="165" fontId="7" fillId="6" borderId="0" xfId="2" applyNumberFormat="1" applyFont="1" applyFill="1" applyAlignment="1">
      <alignment readingOrder="2"/>
    </xf>
    <xf numFmtId="165" fontId="3" fillId="0" borderId="0" xfId="2" applyNumberFormat="1" applyFont="1" applyFill="1" applyAlignment="1">
      <alignment horizontal="right" readingOrder="2"/>
    </xf>
    <xf numFmtId="4" fontId="17" fillId="0" borderId="0" xfId="3" applyNumberFormat="1" applyFont="1" applyAlignment="1">
      <alignment horizontal="center"/>
    </xf>
    <xf numFmtId="9" fontId="3" fillId="0" borderId="0" xfId="2" applyFont="1"/>
    <xf numFmtId="0" fontId="10" fillId="0" borderId="0" xfId="0" applyFont="1" applyAlignment="1">
      <alignment horizontal="right" readingOrder="2"/>
    </xf>
    <xf numFmtId="164" fontId="10" fillId="0" borderId="0" xfId="1" applyFont="1" applyFill="1" applyAlignment="1">
      <alignment horizontal="right" readingOrder="2"/>
    </xf>
    <xf numFmtId="43" fontId="10" fillId="0" borderId="0" xfId="0" applyNumberFormat="1" applyFont="1"/>
    <xf numFmtId="43" fontId="3" fillId="0" borderId="0" xfId="0" applyNumberFormat="1" applyFont="1"/>
    <xf numFmtId="168" fontId="6" fillId="0" borderId="0" xfId="2" applyNumberFormat="1" applyFont="1" applyAlignment="1">
      <alignment readingOrder="2"/>
    </xf>
    <xf numFmtId="168" fontId="6" fillId="6" borderId="0" xfId="2" applyNumberFormat="1" applyFont="1" applyFill="1" applyAlignment="1">
      <alignment readingOrder="2"/>
    </xf>
    <xf numFmtId="0" fontId="6" fillId="6" borderId="0" xfId="0" applyFont="1" applyFill="1" applyAlignment="1">
      <alignment readingOrder="2"/>
    </xf>
    <xf numFmtId="168" fontId="6" fillId="6" borderId="0" xfId="0" applyNumberFormat="1" applyFont="1" applyFill="1" applyAlignment="1">
      <alignment readingOrder="2"/>
    </xf>
    <xf numFmtId="43" fontId="2" fillId="0" borderId="0" xfId="0" applyNumberFormat="1" applyFont="1" applyAlignment="1">
      <alignment readingOrder="2"/>
    </xf>
    <xf numFmtId="0" fontId="0" fillId="9" borderId="0" xfId="0" applyFill="1"/>
    <xf numFmtId="3" fontId="18" fillId="0" borderId="0" xfId="0" applyNumberFormat="1" applyFont="1"/>
    <xf numFmtId="3" fontId="18" fillId="0" borderId="0" xfId="0" applyNumberFormat="1" applyFont="1" applyAlignment="1">
      <alignment horizontal="right" vertical="center" readingOrder="2"/>
    </xf>
    <xf numFmtId="0" fontId="2" fillId="8" borderId="0" xfId="0" applyFont="1" applyFill="1" applyAlignment="1">
      <alignment readingOrder="2"/>
    </xf>
    <xf numFmtId="0" fontId="6" fillId="8" borderId="0" xfId="0" applyFont="1" applyFill="1" applyAlignment="1">
      <alignment readingOrder="2"/>
    </xf>
    <xf numFmtId="164" fontId="10" fillId="0" borderId="0" xfId="0" applyNumberFormat="1" applyFont="1" applyAlignment="1">
      <alignment readingOrder="2"/>
    </xf>
    <xf numFmtId="43" fontId="0" fillId="0" borderId="0" xfId="0" applyNumberFormat="1"/>
    <xf numFmtId="169" fontId="2" fillId="0" borderId="0" xfId="1" applyNumberFormat="1" applyFont="1" applyAlignment="1">
      <alignment readingOrder="2"/>
    </xf>
    <xf numFmtId="168" fontId="3" fillId="0" borderId="0" xfId="2" applyNumberFormat="1" applyFont="1" applyFill="1" applyAlignment="1">
      <alignment horizontal="right" readingOrder="2"/>
    </xf>
    <xf numFmtId="164" fontId="10" fillId="0" borderId="0" xfId="0" applyNumberFormat="1" applyFont="1" applyFill="1" applyAlignment="1">
      <alignment readingOrder="2"/>
    </xf>
    <xf numFmtId="4" fontId="10" fillId="0" borderId="0" xfId="0" applyNumberFormat="1" applyFont="1" applyFill="1" applyAlignment="1">
      <alignment readingOrder="2"/>
    </xf>
    <xf numFmtId="164" fontId="3" fillId="0" borderId="0" xfId="0" applyNumberFormat="1" applyFont="1" applyFill="1"/>
    <xf numFmtId="164" fontId="10" fillId="2" borderId="0" xfId="1" applyFont="1" applyFill="1" applyAlignment="1"/>
    <xf numFmtId="0" fontId="19" fillId="0" borderId="1" xfId="0" applyFont="1" applyFill="1" applyBorder="1" applyAlignment="1" applyProtection="1">
      <alignment vertical="center" wrapText="1"/>
    </xf>
    <xf numFmtId="165" fontId="9" fillId="0" borderId="0" xfId="2" applyNumberFormat="1" applyFont="1" applyFill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9" fillId="10" borderId="0" xfId="1" applyFont="1" applyFill="1"/>
    <xf numFmtId="164" fontId="10" fillId="10" borderId="0" xfId="1" applyFont="1" applyFill="1"/>
    <xf numFmtId="164" fontId="6" fillId="10" borderId="0" xfId="1" applyFont="1" applyFill="1" applyAlignment="1">
      <alignment readingOrder="2"/>
    </xf>
    <xf numFmtId="164" fontId="7" fillId="10" borderId="0" xfId="1" applyFont="1" applyFill="1" applyAlignment="1">
      <alignment readingOrder="2"/>
    </xf>
    <xf numFmtId="4" fontId="3" fillId="11" borderId="0" xfId="0" applyNumberFormat="1" applyFont="1" applyFill="1" applyAlignment="1"/>
    <xf numFmtId="0" fontId="0" fillId="10" borderId="0" xfId="0" applyFill="1"/>
    <xf numFmtId="164" fontId="3" fillId="10" borderId="0" xfId="1" applyFont="1" applyFill="1"/>
    <xf numFmtId="164" fontId="7" fillId="11" borderId="0" xfId="1" applyFont="1" applyFill="1"/>
    <xf numFmtId="0" fontId="0" fillId="10" borderId="0" xfId="0" applyFont="1" applyFill="1" applyAlignment="1"/>
    <xf numFmtId="0" fontId="9" fillId="10" borderId="0" xfId="0" applyFont="1" applyFill="1"/>
    <xf numFmtId="164" fontId="10" fillId="11" borderId="0" xfId="1" applyFont="1" applyFill="1"/>
    <xf numFmtId="0" fontId="9" fillId="0" borderId="0" xfId="0" applyFont="1" applyAlignment="1">
      <alignment horizontal="right"/>
    </xf>
    <xf numFmtId="166" fontId="9" fillId="0" borderId="0" xfId="0" applyNumberFormat="1" applyFont="1" applyFill="1"/>
    <xf numFmtId="0" fontId="9" fillId="0" borderId="0" xfId="0" applyFont="1" applyFill="1"/>
    <xf numFmtId="167" fontId="9" fillId="0" borderId="0" xfId="0" applyNumberFormat="1" applyFont="1" applyFill="1"/>
    <xf numFmtId="164" fontId="9" fillId="0" borderId="0" xfId="1" applyNumberFormat="1" applyFont="1" applyFill="1"/>
    <xf numFmtId="10" fontId="0" fillId="0" borderId="0" xfId="0" applyNumberFormat="1"/>
    <xf numFmtId="10" fontId="0" fillId="0" borderId="0" xfId="0" applyNumberFormat="1" applyFill="1"/>
    <xf numFmtId="10" fontId="2" fillId="0" borderId="0" xfId="0" applyNumberFormat="1" applyFont="1" applyAlignment="1">
      <alignment horizontal="right" readingOrder="2"/>
    </xf>
    <xf numFmtId="10" fontId="6" fillId="0" borderId="0" xfId="0" applyNumberFormat="1" applyFont="1" applyAlignment="1">
      <alignment readingOrder="2"/>
    </xf>
    <xf numFmtId="10" fontId="6" fillId="0" borderId="0" xfId="0" applyNumberFormat="1" applyFont="1" applyFill="1" applyAlignment="1">
      <alignment readingOrder="2"/>
    </xf>
    <xf numFmtId="10" fontId="2" fillId="0" borderId="0" xfId="0" applyNumberFormat="1" applyFont="1" applyAlignment="1">
      <alignment readingOrder="2"/>
    </xf>
    <xf numFmtId="43" fontId="6" fillId="0" borderId="0" xfId="0" applyNumberFormat="1" applyFont="1" applyFill="1" applyAlignment="1">
      <alignment readingOrder="2"/>
    </xf>
    <xf numFmtId="9" fontId="6" fillId="0" borderId="0" xfId="2" applyFont="1" applyAlignment="1">
      <alignment readingOrder="2"/>
    </xf>
    <xf numFmtId="9" fontId="2" fillId="0" borderId="0" xfId="2" applyFont="1" applyAlignment="1">
      <alignment readingOrder="2"/>
    </xf>
    <xf numFmtId="10" fontId="6" fillId="0" borderId="0" xfId="2" applyNumberFormat="1" applyFont="1" applyAlignment="1">
      <alignment readingOrder="2"/>
    </xf>
    <xf numFmtId="9" fontId="2" fillId="0" borderId="0" xfId="2" applyFont="1" applyFill="1" applyAlignment="1">
      <alignment readingOrder="2"/>
    </xf>
    <xf numFmtId="0" fontId="0" fillId="0" borderId="0" xfId="0" applyAlignment="1">
      <alignment vertical="top"/>
    </xf>
    <xf numFmtId="0" fontId="22" fillId="0" borderId="0" xfId="0" applyFont="1"/>
    <xf numFmtId="0" fontId="0" fillId="0" borderId="0" xfId="0" applyFont="1" applyAlignment="1">
      <alignment vertical="top" readingOrder="2"/>
    </xf>
    <xf numFmtId="0" fontId="24" fillId="12" borderId="0" xfId="0" applyFont="1" applyFill="1" applyAlignment="1">
      <alignment readingOrder="2"/>
    </xf>
    <xf numFmtId="165" fontId="21" fillId="0" borderId="0" xfId="2" applyNumberFormat="1" applyFont="1" applyAlignment="1">
      <alignment readingOrder="2"/>
    </xf>
    <xf numFmtId="0" fontId="21" fillId="0" borderId="0" xfId="0" applyFont="1" applyAlignment="1">
      <alignment horizontal="right" readingOrder="2"/>
    </xf>
    <xf numFmtId="0" fontId="25" fillId="2" borderId="0" xfId="0" applyFont="1" applyFill="1" applyAlignment="1">
      <alignment horizontal="right" readingOrder="2"/>
    </xf>
    <xf numFmtId="0" fontId="22" fillId="0" borderId="0" xfId="0" applyFont="1" applyAlignment="1">
      <alignment readingOrder="2"/>
    </xf>
    <xf numFmtId="164" fontId="22" fillId="0" borderId="0" xfId="1" applyFont="1" applyAlignment="1">
      <alignment readingOrder="2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readingOrder="2"/>
    </xf>
    <xf numFmtId="0" fontId="25" fillId="12" borderId="0" xfId="0" applyFont="1" applyFill="1" applyAlignment="1">
      <alignment horizontal="right" readingOrder="2"/>
    </xf>
    <xf numFmtId="0" fontId="24" fillId="2" borderId="0" xfId="0" applyFont="1" applyFill="1" applyAlignment="1">
      <alignment readingOrder="2"/>
    </xf>
    <xf numFmtId="0" fontId="7" fillId="0" borderId="0" xfId="0" applyFont="1" applyAlignment="1">
      <alignment vertical="top"/>
    </xf>
    <xf numFmtId="0" fontId="23" fillId="0" borderId="0" xfId="0" applyFont="1" applyAlignment="1">
      <alignment horizontal="right"/>
    </xf>
    <xf numFmtId="164" fontId="23" fillId="0" borderId="0" xfId="1" applyFont="1" applyAlignment="1">
      <alignment horizontal="right"/>
    </xf>
    <xf numFmtId="165" fontId="22" fillId="0" borderId="0" xfId="2" applyNumberFormat="1" applyFont="1"/>
    <xf numFmtId="165" fontId="26" fillId="0" borderId="0" xfId="2" applyNumberFormat="1" applyFont="1"/>
    <xf numFmtId="0" fontId="26" fillId="0" borderId="0" xfId="0" applyFont="1"/>
    <xf numFmtId="164" fontId="26" fillId="0" borderId="0" xfId="1" applyFont="1"/>
    <xf numFmtId="0" fontId="9" fillId="0" borderId="0" xfId="0" applyFont="1" applyAlignment="1">
      <alignment vertical="top"/>
    </xf>
    <xf numFmtId="164" fontId="22" fillId="0" borderId="0" xfId="1" applyFont="1"/>
    <xf numFmtId="2" fontId="9" fillId="0" borderId="0" xfId="0" applyNumberFormat="1" applyFont="1" applyAlignment="1">
      <alignment vertical="top"/>
    </xf>
    <xf numFmtId="164" fontId="26" fillId="0" borderId="0" xfId="1" applyFont="1" applyFill="1"/>
    <xf numFmtId="165" fontId="27" fillId="2" borderId="0" xfId="2" applyNumberFormat="1" applyFont="1" applyFill="1"/>
    <xf numFmtId="0" fontId="7" fillId="0" borderId="0" xfId="7" applyFont="1" applyBorder="1" applyAlignment="1">
      <alignment vertical="top"/>
    </xf>
    <xf numFmtId="0" fontId="26" fillId="0" borderId="0" xfId="0" applyFont="1" applyFill="1"/>
    <xf numFmtId="0" fontId="7" fillId="0" borderId="0" xfId="7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2" fillId="0" borderId="0" xfId="0" applyFont="1" applyAlignment="1">
      <alignment horizontal="right"/>
    </xf>
    <xf numFmtId="0" fontId="7" fillId="0" borderId="0" xfId="7" applyFont="1" applyBorder="1" applyAlignment="1">
      <alignment horizontal="center" vertical="top" readingOrder="2"/>
    </xf>
    <xf numFmtId="0" fontId="22" fillId="0" borderId="0" xfId="0" applyFont="1" applyAlignment="1">
      <alignment horizontal="right" readingOrder="2"/>
    </xf>
    <xf numFmtId="0" fontId="7" fillId="0" borderId="0" xfId="7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26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 vertical="top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</cellXfs>
  <cellStyles count="8">
    <cellStyle name="Comma" xfId="1" builtinId="3"/>
    <cellStyle name="Normal" xfId="0" builtinId="0"/>
    <cellStyle name="Normal 2" xfId="4" xr:uid="{00000000-0005-0000-0000-000002000000}"/>
    <cellStyle name="Normal 31" xfId="6" xr:uid="{00000000-0005-0000-0000-000003000000}"/>
    <cellStyle name="Normal 32" xfId="5" xr:uid="{00000000-0005-0000-0000-000004000000}"/>
    <cellStyle name="Normal 4" xfId="3" xr:uid="{00000000-0005-0000-0000-000005000000}"/>
    <cellStyle name="Percent" xfId="2" builtinId="5"/>
    <cellStyle name="כותרת 1" xfId="7" builtinId="16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5" formatCode="0.0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5" formatCode="0.0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-* #,##0.00_-;\-* #,##0.0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</dxfs>
  <tableStyles count="0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494019</xdr:colOff>
      <xdr:row>0</xdr:row>
      <xdr:rowOff>0</xdr:rowOff>
    </xdr:from>
    <xdr:to>
      <xdr:col>2</xdr:col>
      <xdr:colOff>968598</xdr:colOff>
      <xdr:row>1</xdr:row>
      <xdr:rowOff>285750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7895964" y="0"/>
          <a:ext cx="474579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Hashavim\&#1502;&#1508;&#1506;&#1500;&#1497;&#1493;&#1514;\&#1491;&#1493;&#1495;&#1493;&#1514;%20&#1499;&#1505;&#1508;&#1497;&#1497;&#1501;%202021\&#1513;&#1504;&#1514;&#1497;\&#1492;&#1502;&#1495;&#1512;%20&#1492;&#1513;&#1514;&#1500;&#1502;&#1493;&#1514;\&#1489;&#1497;&#1511;&#1493;&#1512;&#1514;%20&#1491;&#1493;&#1495;&#1493;&#1514;%20&#1495;&#1493;&#1491;&#1513;&#1497;&#1497;&#1501;%20&#1502;&#1493;&#1500;%20&#1512;&#1489;&#1506;&#1493;&#1504;&#1497;&#1497;&#1501;%20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</sheetNames>
    <sheetDataSet>
      <sheetData sheetId="0">
        <row r="10">
          <cell r="E10">
            <v>2746647631.29562</v>
          </cell>
          <cell r="F10">
            <v>69073522.228377998</v>
          </cell>
          <cell r="G10">
            <v>42028564.031896397</v>
          </cell>
        </row>
        <row r="14">
          <cell r="F14">
            <v>69073522.228377998</v>
          </cell>
          <cell r="G14">
            <v>42028564.031896397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1" displayName="טבלה1" ref="A4:C35" totalsRowShown="0" headerRowDxfId="21">
  <autoFilter ref="A4:C35" xr:uid="{00000000-0009-0000-0100-000001000000}"/>
  <tableColumns count="3">
    <tableColumn id="1" xr3:uid="{00000000-0010-0000-0000-000001000000}" name="תאור" dataDxfId="20"/>
    <tableColumn id="2" xr3:uid="{00000000-0010-0000-0000-000002000000}" name="אלפי ש''ח"/>
    <tableColumn id="3" xr3:uid="{00000000-0010-0000-0000-000003000000}" name="שיעור אחזק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ן אקדמאים מצרפי- נספח 1._x000d__x000a_סך התשלומים ששולמו לשנה שנסתיימה ביום 31/12/202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טבלה2" displayName="טבלה2" ref="A3:D34" totalsRowShown="0" headerRowDxfId="19" headerRowCellStyle="Comma">
  <autoFilter ref="A3:D34" xr:uid="{00000000-0009-0000-0100-000002000000}"/>
  <tableColumns count="4">
    <tableColumn id="1" xr3:uid="{00000000-0010-0000-0100-000001000000}" name="קוד לאוצר" dataDxfId="18"/>
    <tableColumn id="2" xr3:uid="{00000000-0010-0000-0100-000002000000}" name="תאור" dataDxfId="17"/>
    <tableColumn id="3" xr3:uid="{00000000-0010-0000-0100-000003000000}" name="אלפי ש''ח" dataDxfId="16"/>
    <tableColumn id="4" xr3:uid="{00000000-0010-0000-0100-000004000000}" name="שיעור אחזק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ופה 1127. קרן אקדמאים מ. כללי._x000d__x000a_סך התשלומים ששולמו בגין כל סוג של הוצאה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טבלה3" displayName="טבלה3" ref="A3:D34" totalsRowShown="0" headerRowDxfId="15">
  <autoFilter ref="A3:D34" xr:uid="{00000000-0009-0000-0100-000003000000}"/>
  <tableColumns count="4">
    <tableColumn id="1" xr3:uid="{00000000-0010-0000-0200-000001000000}" name="קוד לאוצר" dataDxfId="14"/>
    <tableColumn id="2" xr3:uid="{00000000-0010-0000-0200-000002000000}" name="תאור" dataDxfId="13"/>
    <tableColumn id="3" xr3:uid="{00000000-0010-0000-0200-000003000000}" name="אלפי ש''ח"/>
    <tableColumn id="4" xr3:uid="{00000000-0010-0000-0200-000004000000}" name="שיעור אחזקה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ך התשלומים ששולמו בגין כל סוג של הוצאה ישירה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טבלה4" displayName="טבלה4" ref="A3:D34" totalsRowShown="0" headerRowDxfId="11">
  <autoFilter ref="A3:D34" xr:uid="{00000000-0009-0000-0100-000004000000}"/>
  <tableColumns count="4">
    <tableColumn id="1" xr3:uid="{00000000-0010-0000-0300-000001000000}" name="קוד לאוצר" dataDxfId="10"/>
    <tableColumn id="2" xr3:uid="{00000000-0010-0000-0300-000002000000}" name="תאור" dataDxfId="9"/>
    <tableColumn id="3" xr3:uid="{00000000-0010-0000-0300-000003000000}" name="אלפי ש''ח" dataDxfId="8" dataCellStyle="Comma"/>
    <tableColumn id="4" xr3:uid="{00000000-0010-0000-0300-000004000000}" name="שיעור אחזקה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ך התשלומים ששולמו בגין כל סוג של הוצאה ישירה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טבלה5" displayName="טבלה5" ref="A4:C45" totalsRowShown="0">
  <autoFilter ref="A4:C45" xr:uid="{00000000-0009-0000-0100-000005000000}"/>
  <tableColumns count="3">
    <tableColumn id="1" xr3:uid="{00000000-0010-0000-0400-000001000000}" name="תאור"/>
    <tableColumn id="2" xr3:uid="{00000000-0010-0000-0400-000002000000}" name="אלפי ש''ח"/>
    <tableColumn id="3" xr3:uid="{00000000-0010-0000-0400-000003000000}" name="שיעור אחזקה">
      <calculatedColumnFormula>B5/$B$45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ן אקדמאים מצרפי- נספח 2_x000d__x000a_לשנה שנסתיימה ביום 31/12/202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טבלה6" displayName="טבלה6" ref="A3:C44" totalsRowShown="0" headerRowDxfId="6">
  <autoFilter ref="A3:C44" xr:uid="{00000000-0009-0000-0100-000006000000}"/>
  <tableColumns count="3">
    <tableColumn id="1" xr3:uid="{00000000-0010-0000-0500-000001000000}" name="תאור"/>
    <tableColumn id="2" xr3:uid="{00000000-0010-0000-0500-000002000000}" name="אלפי ש''ח"/>
    <tableColumn id="3" xr3:uid="{00000000-0010-0000-0500-000003000000}" name="שיעור אחזקה">
      <calculatedColumnFormula>B4/$B$44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ך התשלומים ששולמו בגין כל סוג של הוצאה ישירה לשנה שנסתיימה ביום 31.12.202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טבלה7" displayName="טבלה7" ref="A3:C39" totalsRowShown="0" headerRowDxfId="5">
  <autoFilter ref="A3:C39" xr:uid="{00000000-0009-0000-0100-000007000000}"/>
  <tableColumns count="3">
    <tableColumn id="1" xr3:uid="{00000000-0010-0000-0600-000001000000}" name="תאור"/>
    <tableColumn id="2" xr3:uid="{00000000-0010-0000-0600-000002000000}" name="אלפי ש''ח"/>
    <tableColumn id="3" xr3:uid="{00000000-0010-0000-0600-000003000000}" name="שיעור אחזקה">
      <calculatedColumnFormula>B4/$B$39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ך התשלומים ששולמו בגין כל סוג של הוצאה ישירה לתשעת החודשים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טבלה8" displayName="טבלה8" ref="A3:C39" totalsRowShown="0">
  <autoFilter ref="A3:C39" xr:uid="{00000000-0009-0000-0100-000008000000}"/>
  <tableColumns count="3">
    <tableColumn id="1" xr3:uid="{00000000-0010-0000-0700-000001000000}" name="תאור"/>
    <tableColumn id="2" xr3:uid="{00000000-0010-0000-0700-000002000000}" name="אלפי ש''ח"/>
    <tableColumn id="3" xr3:uid="{00000000-0010-0000-0700-000003000000}" name="שיעור אחזקה">
      <calculatedColumnFormula>B4/$B$39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ופה 1761 ק.אקדמאים מ.מניות_x000d__x000a_סך התשלומים ששולמו בגין כל סוג של הוצאה ישירה.  נספח 2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טבלה9" displayName="טבלה9" ref="A4:C227" totalsRowShown="0" headerRowDxfId="4">
  <autoFilter ref="A4:C227" xr:uid="{00000000-0009-0000-0100-000009000000}"/>
  <tableColumns count="3">
    <tableColumn id="1" xr3:uid="{00000000-0010-0000-0800-000001000000}" name="תאור"/>
    <tableColumn id="2" xr3:uid="{00000000-0010-0000-0800-000002000000}" name="אלפי ש''ח"/>
    <tableColumn id="3" xr3:uid="{00000000-0010-0000-0800-000003000000}" name="שיעור אחזקה" dataDxfId="3" dataCellStyle="Percent">
      <calculatedColumnFormula>B5/$B$227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ן אקדמאים מצרפי- נספח 3_x000d__x000a_לשנה שנסתיימה ביום 31/12/202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טבלה10" displayName="טבלה10" ref="A3:C178" totalsRowShown="0" headerRowDxfId="2">
  <autoFilter ref="A3:C178" xr:uid="{00000000-0009-0000-0100-00000A000000}"/>
  <tableColumns count="3">
    <tableColumn id="1" xr3:uid="{00000000-0010-0000-0900-000001000000}" name="תאור"/>
    <tableColumn id="2" xr3:uid="{00000000-0010-0000-0900-000002000000}" name="אלפי ש''ח"/>
    <tableColumn id="3" xr3:uid="{00000000-0010-0000-0900-000003000000}" name="שיעור אחזקה" dataDxfId="1" dataCellStyle="Percent">
      <calculatedColumnFormula>B4/$B$178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ופה 1127- קרן אקדמאים._x000d__x000a_סך התשלומים ששולמו בגין כל הוצאה ישירה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טבלה12" displayName="טבלה12" ref="A3:C39" totalsRowShown="0">
  <autoFilter ref="A3:C39" xr:uid="{00000000-0009-0000-0100-00000C000000}"/>
  <tableColumns count="3">
    <tableColumn id="1" xr3:uid="{00000000-0010-0000-0A00-000001000000}" name="תאור"/>
    <tableColumn id="2" xr3:uid="{00000000-0010-0000-0A00-000002000000}" name="אלפי ש''ח"/>
    <tableColumn id="3" xr3:uid="{00000000-0010-0000-0A00-000003000000}" name="שיעור אחזקה">
      <calculatedColumnFormula>B4/$B$39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ופה 1762 קרן אקדמאים._x000d__x000a_סך התשלומים ששולמו בגין כל סוג של הוצאה ישירה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טבלה11" displayName="טבלה11" ref="A3:C86" totalsRowShown="0" headerRowDxfId="0">
  <autoFilter ref="A3:C86" xr:uid="{00000000-0009-0000-0100-00000B000000}"/>
  <tableColumns count="3">
    <tableColumn id="1" xr3:uid="{00000000-0010-0000-0B00-000001000000}" name="תאור"/>
    <tableColumn id="2" xr3:uid="{00000000-0010-0000-0B00-000002000000}" name="אלפי ש''ח"/>
    <tableColumn id="3" xr3:uid="{00000000-0010-0000-0B00-000003000000}" name="שיעור אחזקה">
      <calculatedColumnFormula>B4/$B$86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ספח 3._x000d__x000a_סך התשלומים ששולמו בגין כל סוג של הוצאה ישירה. 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Z42"/>
  <sheetViews>
    <sheetView rightToLeft="1" tabSelected="1" zoomScale="80" zoomScaleNormal="80" workbookViewId="0">
      <selection activeCell="A37" sqref="A37"/>
    </sheetView>
  </sheetViews>
  <sheetFormatPr defaultRowHeight="14.25" x14ac:dyDescent="0.2"/>
  <cols>
    <col min="1" max="1" width="123.125" bestFit="1" customWidth="1"/>
    <col min="2" max="2" width="17.125" bestFit="1" customWidth="1"/>
    <col min="3" max="3" width="12.875" customWidth="1"/>
    <col min="4" max="4" width="12" bestFit="1" customWidth="1"/>
    <col min="5" max="6" width="0" hidden="1" customWidth="1"/>
    <col min="7" max="7" width="51.625" hidden="1" customWidth="1"/>
    <col min="8" max="8" width="14.875" hidden="1" customWidth="1"/>
    <col min="9" max="11" width="0" hidden="1" customWidth="1"/>
    <col min="12" max="12" width="13.875" hidden="1" customWidth="1"/>
    <col min="13" max="13" width="11.375" hidden="1" customWidth="1"/>
    <col min="14" max="14" width="0" hidden="1" customWidth="1"/>
    <col min="15" max="15" width="12" hidden="1" customWidth="1"/>
    <col min="16" max="25" width="0" hidden="1" customWidth="1"/>
    <col min="26" max="26" width="9.875" bestFit="1" customWidth="1"/>
  </cols>
  <sheetData>
    <row r="1" spans="1:16" ht="15" x14ac:dyDescent="0.25">
      <c r="A1" s="203" t="s">
        <v>0</v>
      </c>
      <c r="B1" s="203"/>
      <c r="C1" s="203"/>
      <c r="G1" s="204" t="s">
        <v>0</v>
      </c>
      <c r="H1" s="204"/>
      <c r="I1" s="204"/>
    </row>
    <row r="2" spans="1:16" s="176" customFormat="1" ht="30" customHeight="1" x14ac:dyDescent="0.25">
      <c r="A2" s="204" t="s">
        <v>262</v>
      </c>
      <c r="B2" s="204"/>
      <c r="C2" s="204"/>
      <c r="G2" s="205" t="s">
        <v>229</v>
      </c>
      <c r="H2" s="205"/>
      <c r="I2" s="205"/>
    </row>
    <row r="3" spans="1:16" hidden="1" x14ac:dyDescent="0.2">
      <c r="K3" s="15"/>
      <c r="L3" s="15"/>
      <c r="M3" s="15"/>
      <c r="N3" s="14"/>
      <c r="O3" s="14"/>
    </row>
    <row r="4" spans="1:16" x14ac:dyDescent="0.2">
      <c r="A4" s="1" t="s">
        <v>1</v>
      </c>
      <c r="B4" s="1" t="s">
        <v>2</v>
      </c>
      <c r="C4" s="1" t="s">
        <v>3</v>
      </c>
      <c r="G4" s="1" t="s">
        <v>1</v>
      </c>
      <c r="H4" s="1" t="s">
        <v>2</v>
      </c>
      <c r="I4" s="1" t="s">
        <v>3</v>
      </c>
      <c r="K4" s="1" t="s">
        <v>1</v>
      </c>
      <c r="L4" s="1" t="s">
        <v>2</v>
      </c>
      <c r="M4" s="1" t="s">
        <v>3</v>
      </c>
      <c r="N4" s="17"/>
      <c r="O4" s="17" t="s">
        <v>216</v>
      </c>
    </row>
    <row r="5" spans="1:16" ht="15" x14ac:dyDescent="0.25">
      <c r="A5" s="2" t="s">
        <v>4</v>
      </c>
      <c r="B5" s="3">
        <f>B7+B6</f>
        <v>1011.28</v>
      </c>
      <c r="C5" s="4">
        <f>B5/$B$31</f>
        <v>3.5380432707125234E-4</v>
      </c>
      <c r="G5" s="2" t="s">
        <v>4</v>
      </c>
      <c r="H5" s="113">
        <v>615.07999999999993</v>
      </c>
      <c r="I5" s="4">
        <v>2.2638737165689584E-4</v>
      </c>
      <c r="K5" s="2" t="s">
        <v>4</v>
      </c>
      <c r="L5" s="3">
        <v>551.50999999999988</v>
      </c>
      <c r="M5" s="4">
        <v>1.8230330380160137E-4</v>
      </c>
      <c r="N5" s="17"/>
      <c r="O5" s="24">
        <f>B5-H5</f>
        <v>396.20000000000005</v>
      </c>
      <c r="P5" s="14"/>
    </row>
    <row r="6" spans="1:16" ht="15" x14ac:dyDescent="0.25">
      <c r="A6" s="5" t="s">
        <v>5</v>
      </c>
      <c r="B6" s="6">
        <v>0</v>
      </c>
      <c r="C6" s="7">
        <f t="shared" ref="C6:C31" si="0">B6/$B$31</f>
        <v>0</v>
      </c>
      <c r="D6" s="165"/>
      <c r="G6" s="5" t="s">
        <v>5</v>
      </c>
      <c r="H6" s="6">
        <v>0</v>
      </c>
      <c r="I6" s="7">
        <v>0</v>
      </c>
      <c r="K6" s="5" t="s">
        <v>5</v>
      </c>
      <c r="L6" s="6">
        <v>0</v>
      </c>
      <c r="M6" s="7">
        <v>0</v>
      </c>
      <c r="N6" s="17"/>
      <c r="O6" s="24">
        <f t="shared" ref="O6:O27" si="1">B6-H6</f>
        <v>0</v>
      </c>
      <c r="P6" s="17"/>
    </row>
    <row r="7" spans="1:16" ht="15" x14ac:dyDescent="0.25">
      <c r="A7" s="5" t="s">
        <v>6</v>
      </c>
      <c r="B7" s="6">
        <f>'נספח 1-כללי'!C6+'נספח 1-  אג"ח'!C6+'נספח 1- מניות'!C6</f>
        <v>1011.28</v>
      </c>
      <c r="C7" s="7">
        <f t="shared" si="0"/>
        <v>3.5380432707125234E-4</v>
      </c>
      <c r="D7" s="165"/>
      <c r="G7" s="5"/>
      <c r="H7" s="6"/>
      <c r="I7" s="7"/>
      <c r="K7" s="5"/>
      <c r="L7" s="6"/>
      <c r="M7" s="7"/>
      <c r="N7" s="17"/>
      <c r="O7" s="24"/>
      <c r="P7" s="17"/>
    </row>
    <row r="8" spans="1:16" ht="15" x14ac:dyDescent="0.25">
      <c r="A8" s="2" t="s">
        <v>7</v>
      </c>
      <c r="B8" s="3">
        <f>SUM(B9:B10)</f>
        <v>108.50999999999999</v>
      </c>
      <c r="C8" s="4">
        <f t="shared" si="0"/>
        <v>3.7963083943617583E-5</v>
      </c>
      <c r="D8" s="165"/>
      <c r="G8" s="2"/>
      <c r="H8" s="113"/>
      <c r="I8" s="4"/>
      <c r="K8" s="2"/>
      <c r="L8" s="3"/>
      <c r="M8" s="4"/>
      <c r="N8" s="17"/>
      <c r="O8" s="24"/>
      <c r="P8" s="17"/>
    </row>
    <row r="9" spans="1:16" ht="15" x14ac:dyDescent="0.25">
      <c r="A9" s="5" t="s">
        <v>8</v>
      </c>
      <c r="B9" s="6">
        <f>'נספח 1-כללי'!C8+'נספח 1-  אג"ח'!C8+'נספח 1- מניות'!C8</f>
        <v>0</v>
      </c>
      <c r="C9" s="7">
        <f t="shared" si="0"/>
        <v>0</v>
      </c>
      <c r="D9" s="165"/>
      <c r="G9" s="5"/>
      <c r="H9" s="6"/>
      <c r="I9" s="7"/>
      <c r="K9" s="5"/>
      <c r="L9" s="6"/>
      <c r="M9" s="7"/>
      <c r="N9" s="17"/>
      <c r="O9" s="24"/>
      <c r="P9" s="17"/>
    </row>
    <row r="10" spans="1:16" ht="15" x14ac:dyDescent="0.25">
      <c r="A10" s="5" t="s">
        <v>9</v>
      </c>
      <c r="B10" s="6">
        <f>'נספח 1-כללי'!C9+'נספח 1-  אג"ח'!C9+'נספח 1- מניות'!C9</f>
        <v>108.50999999999999</v>
      </c>
      <c r="C10" s="7">
        <f t="shared" si="0"/>
        <v>3.7963083943617583E-5</v>
      </c>
      <c r="D10" s="165"/>
      <c r="G10" s="5"/>
      <c r="H10" s="6"/>
      <c r="I10" s="7"/>
      <c r="K10" s="5"/>
      <c r="L10" s="6"/>
      <c r="M10" s="7"/>
      <c r="N10" s="17"/>
      <c r="O10" s="24"/>
      <c r="P10" s="17"/>
    </row>
    <row r="11" spans="1:16" ht="15" x14ac:dyDescent="0.25">
      <c r="A11" s="2" t="s">
        <v>10</v>
      </c>
      <c r="B11" s="3">
        <v>0</v>
      </c>
      <c r="C11" s="4">
        <f t="shared" si="0"/>
        <v>0</v>
      </c>
      <c r="D11" s="165"/>
      <c r="G11" s="2"/>
      <c r="H11" s="113"/>
      <c r="I11" s="4"/>
      <c r="K11" s="2"/>
      <c r="L11" s="3"/>
      <c r="M11" s="4"/>
      <c r="N11" s="17"/>
      <c r="O11" s="24"/>
      <c r="P11" s="17"/>
    </row>
    <row r="12" spans="1:16" ht="15" x14ac:dyDescent="0.25">
      <c r="A12" s="5" t="s">
        <v>11</v>
      </c>
      <c r="B12" s="6">
        <v>0</v>
      </c>
      <c r="C12" s="7">
        <f t="shared" si="0"/>
        <v>0</v>
      </c>
      <c r="D12" s="165"/>
      <c r="G12" s="5"/>
      <c r="H12" s="6"/>
      <c r="I12" s="7"/>
      <c r="K12" s="5"/>
      <c r="L12" s="6"/>
      <c r="M12" s="7"/>
      <c r="N12" s="17"/>
      <c r="O12" s="24"/>
      <c r="P12" s="17"/>
    </row>
    <row r="13" spans="1:16" ht="15" x14ac:dyDescent="0.25">
      <c r="A13" s="5" t="s">
        <v>12</v>
      </c>
      <c r="B13" s="6">
        <v>0</v>
      </c>
      <c r="C13" s="7">
        <f t="shared" si="0"/>
        <v>0</v>
      </c>
      <c r="D13" s="165"/>
      <c r="G13" s="5"/>
      <c r="H13" s="6"/>
      <c r="I13" s="7"/>
      <c r="K13" s="5"/>
      <c r="L13" s="6"/>
      <c r="M13" s="7"/>
      <c r="N13" s="17"/>
      <c r="O13" s="24"/>
      <c r="P13" s="17"/>
    </row>
    <row r="14" spans="1:16" ht="15" x14ac:dyDescent="0.25">
      <c r="A14" s="5" t="s">
        <v>13</v>
      </c>
      <c r="B14" s="6">
        <v>0</v>
      </c>
      <c r="C14" s="7">
        <f t="shared" si="0"/>
        <v>0</v>
      </c>
      <c r="D14" s="165"/>
      <c r="G14" s="5"/>
      <c r="H14" s="6"/>
      <c r="I14" s="7"/>
      <c r="K14" s="5"/>
      <c r="L14" s="6"/>
      <c r="M14" s="7"/>
      <c r="N14" s="17"/>
      <c r="O14" s="24"/>
      <c r="P14" s="17"/>
    </row>
    <row r="15" spans="1:16" ht="15" x14ac:dyDescent="0.25">
      <c r="A15" s="2" t="s">
        <v>14</v>
      </c>
      <c r="B15" s="3">
        <f>SUM(B16:B23)</f>
        <v>2360.1082092370475</v>
      </c>
      <c r="C15" s="4">
        <f t="shared" si="0"/>
        <v>8.257025717748319E-4</v>
      </c>
      <c r="D15" s="165"/>
      <c r="G15" s="2"/>
      <c r="H15" s="113"/>
      <c r="I15" s="4"/>
      <c r="K15" s="2"/>
      <c r="L15" s="3"/>
      <c r="M15" s="4"/>
      <c r="N15" s="17"/>
      <c r="O15" s="24"/>
      <c r="P15" s="17"/>
    </row>
    <row r="16" spans="1:16" ht="15" x14ac:dyDescent="0.25">
      <c r="A16" s="8" t="s">
        <v>15</v>
      </c>
      <c r="B16" s="6">
        <f>'נספח 1-כללי'!C15+'נספח 1-  אג"ח'!C15+'נספח 1- מניות'!C15</f>
        <v>384.34455923704729</v>
      </c>
      <c r="C16" s="7">
        <f t="shared" si="0"/>
        <v>1.3446599175733783E-4</v>
      </c>
      <c r="D16" s="165"/>
      <c r="G16" s="5"/>
      <c r="H16" s="6"/>
      <c r="I16" s="7"/>
      <c r="K16" s="5"/>
      <c r="L16" s="6"/>
      <c r="M16" s="7"/>
      <c r="N16" s="17"/>
      <c r="O16" s="24"/>
      <c r="P16" s="17"/>
    </row>
    <row r="17" spans="1:26" ht="15" x14ac:dyDescent="0.25">
      <c r="A17" s="8" t="s">
        <v>16</v>
      </c>
      <c r="B17" s="6">
        <f>'נספח 1-כללי'!C16+'נספח 1-  אג"ח'!C16+'נספח 1- מניות'!C16</f>
        <v>408.19365000000005</v>
      </c>
      <c r="C17" s="7">
        <f t="shared" si="0"/>
        <v>1.4280978527510512E-4</v>
      </c>
      <c r="D17" s="165"/>
      <c r="G17" s="5"/>
      <c r="H17" s="6"/>
      <c r="I17" s="7"/>
      <c r="K17" s="5"/>
      <c r="L17" s="6"/>
      <c r="M17" s="7"/>
      <c r="N17" s="17"/>
      <c r="O17" s="24"/>
      <c r="P17" s="17"/>
      <c r="Z17" s="165"/>
    </row>
    <row r="18" spans="1:26" ht="15" x14ac:dyDescent="0.25">
      <c r="A18" s="5" t="s">
        <v>17</v>
      </c>
      <c r="B18" s="6">
        <f>'נספח 1-כללי'!C17+'נספח 1-  אג"ח'!C17+'נספח 1- מניות'!C17</f>
        <v>0</v>
      </c>
      <c r="C18" s="7">
        <f t="shared" si="0"/>
        <v>0</v>
      </c>
      <c r="D18" s="165"/>
      <c r="G18" s="5"/>
      <c r="H18" s="6"/>
      <c r="I18" s="7"/>
      <c r="K18" s="5"/>
      <c r="L18" s="6"/>
      <c r="M18" s="7"/>
      <c r="N18" s="17"/>
      <c r="O18" s="24"/>
      <c r="P18" s="17"/>
    </row>
    <row r="19" spans="1:26" ht="15" x14ac:dyDescent="0.25">
      <c r="A19" s="5" t="s">
        <v>18</v>
      </c>
      <c r="B19" s="6">
        <f>'נספח 1-כללי'!C18+'נספח 1-  אג"ח'!C18+'נספח 1- מניות'!C18</f>
        <v>88.9</v>
      </c>
      <c r="C19" s="7">
        <f t="shared" si="0"/>
        <v>3.1102369943669741E-5</v>
      </c>
      <c r="D19" s="166"/>
      <c r="E19" s="9"/>
      <c r="G19" s="5"/>
      <c r="H19" s="6"/>
      <c r="I19" s="7"/>
      <c r="K19" s="5"/>
      <c r="L19" s="6"/>
      <c r="M19" s="7"/>
      <c r="N19" s="17"/>
      <c r="O19" s="24"/>
      <c r="P19" s="17"/>
    </row>
    <row r="20" spans="1:26" s="9" customFormat="1" ht="15" x14ac:dyDescent="0.25">
      <c r="A20" s="8" t="s">
        <v>19</v>
      </c>
      <c r="B20" s="6">
        <f>'נספח 1-כללי'!C19+'נספח 1-  אג"ח'!C19+'נספח 1- מניות'!C19</f>
        <v>522.34999999999991</v>
      </c>
      <c r="C20" s="10">
        <f t="shared" si="0"/>
        <v>1.8274828953966126E-4</v>
      </c>
      <c r="D20" s="165"/>
      <c r="G20" s="5"/>
      <c r="H20" s="6"/>
      <c r="I20" s="10"/>
      <c r="J20"/>
      <c r="K20" s="114"/>
      <c r="L20" s="115"/>
      <c r="M20" s="116"/>
      <c r="N20" s="17"/>
      <c r="O20" s="24"/>
      <c r="P20" s="17"/>
    </row>
    <row r="21" spans="1:26" ht="15" x14ac:dyDescent="0.25">
      <c r="A21" s="5" t="s">
        <v>20</v>
      </c>
      <c r="B21" s="6">
        <f>'נספח 1-כללי'!C20+'נספח 1-  אג"ח'!C20+'נספח 1- מניות'!C20</f>
        <v>956.05000000000018</v>
      </c>
      <c r="C21" s="7">
        <f t="shared" si="0"/>
        <v>3.3448167361805914E-4</v>
      </c>
      <c r="D21" s="166"/>
      <c r="E21" s="9"/>
      <c r="F21" s="9"/>
      <c r="G21" s="5"/>
      <c r="H21" s="6"/>
      <c r="I21" s="7"/>
      <c r="K21" s="5"/>
      <c r="L21" s="6"/>
      <c r="M21" s="7"/>
      <c r="N21" s="17"/>
      <c r="O21" s="24"/>
      <c r="P21" s="17"/>
      <c r="Q21" s="9"/>
      <c r="R21" s="9"/>
      <c r="S21" s="9"/>
      <c r="T21" s="9"/>
      <c r="U21" s="9"/>
      <c r="Z21" s="138"/>
    </row>
    <row r="22" spans="1:26" ht="15" x14ac:dyDescent="0.25">
      <c r="A22" s="5" t="s">
        <v>21</v>
      </c>
      <c r="B22" s="6">
        <f>'נספח 1-כללי'!C21+'נספח 1-  אג"ח'!C21+'נספח 1- מניות'!C21</f>
        <v>0</v>
      </c>
      <c r="C22" s="7">
        <f t="shared" si="0"/>
        <v>0</v>
      </c>
      <c r="D22" s="166"/>
      <c r="E22" s="9"/>
      <c r="F22" s="9"/>
      <c r="G22" s="5"/>
      <c r="H22" s="6"/>
      <c r="I22" s="7"/>
      <c r="K22" s="5"/>
      <c r="L22" s="6"/>
      <c r="M22" s="7"/>
      <c r="N22" s="17"/>
      <c r="O22" s="24"/>
      <c r="P22" s="17"/>
      <c r="Q22" s="9"/>
      <c r="R22" s="9"/>
      <c r="S22" s="9"/>
      <c r="T22" s="9"/>
      <c r="U22" s="9"/>
    </row>
    <row r="23" spans="1:26" ht="15" x14ac:dyDescent="0.25">
      <c r="A23" s="5" t="s">
        <v>22</v>
      </c>
      <c r="B23" s="6">
        <f>'נספח 1-כללי'!C22+'נספח 1-  אג"ח'!C22+'נספח 1- מניות'!C22</f>
        <v>0.27</v>
      </c>
      <c r="C23" s="7">
        <f t="shared" si="0"/>
        <v>9.4461640998771985E-8</v>
      </c>
      <c r="D23" s="165"/>
      <c r="E23" s="9"/>
      <c r="F23" s="9"/>
      <c r="G23" s="5"/>
      <c r="H23" s="6"/>
      <c r="I23" s="7"/>
      <c r="K23" s="5"/>
      <c r="L23" s="6"/>
      <c r="M23" s="7"/>
      <c r="N23" s="17"/>
      <c r="O23" s="24"/>
      <c r="P23" s="17"/>
      <c r="Q23" s="9"/>
      <c r="R23" s="9"/>
      <c r="S23" s="9"/>
      <c r="T23" s="9"/>
      <c r="U23" s="9"/>
    </row>
    <row r="24" spans="1:26" ht="15" x14ac:dyDescent="0.25">
      <c r="A24" s="2" t="s">
        <v>23</v>
      </c>
      <c r="B24" s="3">
        <f>SUM(B25:B26)</f>
        <v>0</v>
      </c>
      <c r="C24" s="4">
        <f t="shared" si="0"/>
        <v>0</v>
      </c>
      <c r="D24" s="166"/>
      <c r="E24" s="9"/>
      <c r="F24" s="9"/>
      <c r="G24" s="2"/>
      <c r="H24" s="3"/>
      <c r="I24" s="4"/>
      <c r="K24" s="2"/>
      <c r="L24" s="3"/>
      <c r="M24" s="4"/>
      <c r="N24" s="17"/>
      <c r="O24" s="24"/>
      <c r="P24" s="17"/>
      <c r="Q24" s="9"/>
      <c r="R24" s="9"/>
      <c r="S24" s="9"/>
      <c r="T24" s="9"/>
      <c r="U24" s="9"/>
    </row>
    <row r="25" spans="1:26" ht="15" x14ac:dyDescent="0.25">
      <c r="A25" s="5" t="s">
        <v>24</v>
      </c>
      <c r="B25" s="6">
        <v>0</v>
      </c>
      <c r="C25" s="7">
        <f t="shared" si="0"/>
        <v>0</v>
      </c>
      <c r="D25" s="166"/>
      <c r="E25" s="9"/>
      <c r="F25" s="9"/>
      <c r="G25" s="5"/>
      <c r="H25" s="6"/>
      <c r="I25" s="7"/>
      <c r="K25" s="5"/>
      <c r="L25" s="6"/>
      <c r="M25" s="7"/>
      <c r="N25" s="17"/>
      <c r="O25" s="24"/>
      <c r="P25" s="17"/>
      <c r="Q25" s="9"/>
      <c r="R25" s="9"/>
      <c r="S25" s="9"/>
      <c r="T25" s="9"/>
      <c r="U25" s="9"/>
    </row>
    <row r="26" spans="1:26" ht="15" x14ac:dyDescent="0.25">
      <c r="A26" s="5" t="s">
        <v>25</v>
      </c>
      <c r="B26" s="6">
        <v>0</v>
      </c>
      <c r="C26" s="7">
        <f t="shared" si="0"/>
        <v>0</v>
      </c>
      <c r="D26" s="166"/>
      <c r="E26" s="9"/>
      <c r="F26" s="9"/>
      <c r="G26" s="5" t="s">
        <v>25</v>
      </c>
      <c r="H26" s="6">
        <v>0</v>
      </c>
      <c r="I26" s="7">
        <v>0</v>
      </c>
      <c r="K26" s="5" t="s">
        <v>25</v>
      </c>
      <c r="L26" s="6">
        <v>0</v>
      </c>
      <c r="M26" s="7">
        <v>0</v>
      </c>
      <c r="N26" s="17"/>
      <c r="O26" s="24">
        <f t="shared" si="1"/>
        <v>0</v>
      </c>
      <c r="P26" s="17"/>
      <c r="Q26" s="9"/>
      <c r="R26" s="9"/>
      <c r="S26" s="9"/>
      <c r="T26" s="9"/>
      <c r="U26" s="9"/>
    </row>
    <row r="27" spans="1:26" ht="15" x14ac:dyDescent="0.25">
      <c r="A27" s="2" t="s">
        <v>26</v>
      </c>
      <c r="B27" s="3">
        <f>'נספח 1-כללי'!C26+'נספח 1-  אג"ח'!C26+'נספח 1- מניות'!C26</f>
        <v>3479.8982092370475</v>
      </c>
      <c r="C27" s="4">
        <f t="shared" si="0"/>
        <v>1.2174699827897017E-3</v>
      </c>
      <c r="D27" s="166"/>
      <c r="E27" s="9"/>
      <c r="F27" s="9"/>
      <c r="G27" s="2" t="s">
        <v>26</v>
      </c>
      <c r="H27" s="117">
        <v>1462.4649999999999</v>
      </c>
      <c r="I27" s="4">
        <v>5.3827730943975126E-4</v>
      </c>
      <c r="K27" s="2" t="s">
        <v>26</v>
      </c>
      <c r="L27" s="117">
        <v>1687.3431688724302</v>
      </c>
      <c r="M27" s="4">
        <v>5.5775640393194591E-4</v>
      </c>
      <c r="N27" s="17"/>
      <c r="O27" s="24">
        <f t="shared" si="1"/>
        <v>2017.4332092370475</v>
      </c>
      <c r="P27" s="118"/>
      <c r="Q27" s="9"/>
      <c r="R27" s="9"/>
      <c r="S27" s="9"/>
      <c r="T27" s="9"/>
      <c r="U27" s="9"/>
    </row>
    <row r="28" spans="1:26" ht="15" x14ac:dyDescent="0.25">
      <c r="A28" s="5" t="s">
        <v>27</v>
      </c>
      <c r="B28" s="11">
        <v>0</v>
      </c>
      <c r="C28" s="7">
        <f t="shared" si="0"/>
        <v>0</v>
      </c>
      <c r="D28" s="166"/>
      <c r="E28" s="9"/>
      <c r="F28" s="9"/>
      <c r="G28" s="5" t="s">
        <v>27</v>
      </c>
      <c r="H28" s="11"/>
      <c r="I28" s="7">
        <v>0</v>
      </c>
      <c r="K28" s="5" t="s">
        <v>27</v>
      </c>
      <c r="L28" s="11"/>
      <c r="M28" s="7">
        <v>0</v>
      </c>
      <c r="N28" s="17"/>
      <c r="O28" s="17"/>
      <c r="P28" s="17"/>
      <c r="Q28" s="9"/>
      <c r="R28" s="9"/>
      <c r="S28" s="9"/>
      <c r="T28" s="9"/>
      <c r="U28" s="9"/>
    </row>
    <row r="29" spans="1:26" ht="15" x14ac:dyDescent="0.25">
      <c r="A29" s="5" t="s">
        <v>28</v>
      </c>
      <c r="B29" s="140">
        <f>SUM(B11,B15,B24)/B33</f>
        <v>8.3454644983493626E-4</v>
      </c>
      <c r="C29" s="7">
        <f t="shared" si="0"/>
        <v>2.9197269311521266E-10</v>
      </c>
      <c r="D29" s="166"/>
      <c r="E29" s="9"/>
      <c r="F29" s="9"/>
      <c r="G29" s="5" t="s">
        <v>28</v>
      </c>
      <c r="H29" s="119">
        <v>2.6369382220655909E-4</v>
      </c>
      <c r="I29" s="7">
        <v>9.7055588429966361E-11</v>
      </c>
      <c r="K29" s="5" t="s">
        <v>28</v>
      </c>
      <c r="L29" s="120">
        <v>3.5989974691482378E-4</v>
      </c>
      <c r="M29" s="7">
        <v>1.1896595329174915E-10</v>
      </c>
      <c r="N29" s="17"/>
      <c r="O29" s="127">
        <f>O27/B33</f>
        <v>7.1337480034110439E-4</v>
      </c>
      <c r="P29" s="17"/>
      <c r="Q29" s="9"/>
      <c r="R29" s="9"/>
      <c r="S29" s="9"/>
      <c r="T29" s="9"/>
      <c r="U29" s="9"/>
    </row>
    <row r="30" spans="1:26" ht="15" x14ac:dyDescent="0.25">
      <c r="A30" s="5" t="s">
        <v>29</v>
      </c>
      <c r="B30" s="140">
        <f>B27/B33</f>
        <v>1.230509976169504E-3</v>
      </c>
      <c r="C30" s="7">
        <f t="shared" si="0"/>
        <v>4.3050367264567094E-10</v>
      </c>
      <c r="D30" s="165"/>
      <c r="E30" s="9"/>
      <c r="F30" s="9"/>
      <c r="G30" s="5" t="s">
        <v>29</v>
      </c>
      <c r="H30" s="119">
        <v>4.8234615447279299E-4</v>
      </c>
      <c r="I30" s="7">
        <v>1.775331308771327E-10</v>
      </c>
      <c r="K30" s="5" t="s">
        <v>29</v>
      </c>
      <c r="L30" s="120">
        <v>5.7079854370511887E-4</v>
      </c>
      <c r="M30" s="7">
        <v>1.8867919044547869E-10</v>
      </c>
      <c r="N30" s="17"/>
      <c r="O30" s="128">
        <f>B30*(H33-B33)/B33</f>
        <v>8.8750034476872612E-5</v>
      </c>
      <c r="P30" s="129" t="s">
        <v>230</v>
      </c>
      <c r="Q30" s="112"/>
      <c r="R30" s="112"/>
      <c r="S30" s="9"/>
      <c r="T30" s="9"/>
      <c r="U30" s="9"/>
    </row>
    <row r="31" spans="1:26" ht="15.75" x14ac:dyDescent="0.25">
      <c r="A31" s="5" t="s">
        <v>30</v>
      </c>
      <c r="B31" s="141">
        <f>'נספח 1-כללי'!C30+'נספח 1-  אג"ח'!C30+'נספח 1- מניות'!C30</f>
        <v>2858303.0862602741</v>
      </c>
      <c r="C31" s="12">
        <f t="shared" si="0"/>
        <v>1</v>
      </c>
      <c r="D31" s="165"/>
      <c r="E31" s="9"/>
      <c r="F31" s="9"/>
      <c r="G31" s="5" t="s">
        <v>30</v>
      </c>
      <c r="H31" s="121">
        <v>2716936</v>
      </c>
      <c r="I31" s="122">
        <v>1</v>
      </c>
      <c r="K31" s="5" t="s">
        <v>30</v>
      </c>
      <c r="L31" s="11">
        <v>3025233.1608877587</v>
      </c>
      <c r="M31" s="7">
        <v>1</v>
      </c>
      <c r="N31" s="17"/>
      <c r="O31" s="130">
        <f>SUM(O29:O30)</f>
        <v>8.0212483481797699E-4</v>
      </c>
      <c r="P31" s="129" t="s">
        <v>231</v>
      </c>
      <c r="Q31" s="112"/>
      <c r="R31" s="112"/>
      <c r="S31" s="9"/>
      <c r="T31" s="9"/>
      <c r="U31" s="9"/>
    </row>
    <row r="32" spans="1:26" ht="15" hidden="1" x14ac:dyDescent="0.25">
      <c r="A32" s="5"/>
      <c r="B32" s="8"/>
      <c r="E32" s="9"/>
      <c r="F32" s="9"/>
      <c r="G32" s="123"/>
      <c r="H32" s="124">
        <v>0</v>
      </c>
      <c r="K32" s="5"/>
      <c r="L32" s="11">
        <v>0</v>
      </c>
      <c r="N32" s="17"/>
      <c r="O32" s="17"/>
      <c r="P32" s="17"/>
      <c r="Q32" s="9"/>
      <c r="R32" s="9"/>
      <c r="S32" s="9"/>
      <c r="T32" s="9"/>
      <c r="U32" s="9"/>
    </row>
    <row r="33" spans="1:21" ht="15.75" x14ac:dyDescent="0.25">
      <c r="A33" s="5" t="s">
        <v>31</v>
      </c>
      <c r="B33" s="142">
        <v>2828013</v>
      </c>
      <c r="C33" s="177" t="s">
        <v>266</v>
      </c>
      <c r="E33" s="132"/>
      <c r="F33" s="132"/>
      <c r="G33" s="123" t="s">
        <v>31</v>
      </c>
      <c r="H33" s="121">
        <v>3031982.2941233581</v>
      </c>
      <c r="K33" s="5" t="s">
        <v>31</v>
      </c>
      <c r="L33" s="11">
        <v>2956109.8</v>
      </c>
      <c r="N33" s="17"/>
      <c r="O33" s="17"/>
      <c r="P33" s="17"/>
      <c r="Q33" s="9"/>
      <c r="R33" s="9"/>
      <c r="S33" s="9"/>
      <c r="T33" s="9"/>
      <c r="U33" s="9"/>
    </row>
    <row r="34" spans="1:21" hidden="1" x14ac:dyDescent="0.2">
      <c r="B34" s="177" t="s">
        <v>266</v>
      </c>
      <c r="C34" s="177" t="s">
        <v>266</v>
      </c>
      <c r="E34" s="9"/>
      <c r="F34" s="9"/>
      <c r="G34" s="48"/>
      <c r="H34" s="48"/>
      <c r="N34" s="14"/>
      <c r="O34" s="14"/>
      <c r="P34" s="17"/>
      <c r="Q34" s="9"/>
      <c r="R34" s="9"/>
      <c r="S34" s="9"/>
      <c r="T34" s="9"/>
      <c r="U34" s="9"/>
    </row>
    <row r="35" spans="1:21" ht="15" x14ac:dyDescent="0.25">
      <c r="A35" s="5" t="s">
        <v>32</v>
      </c>
      <c r="B35" s="143">
        <f>AVERAGE(B31,B33)</f>
        <v>2843158.043130137</v>
      </c>
      <c r="C35" s="177" t="s">
        <v>266</v>
      </c>
      <c r="E35" s="132"/>
      <c r="F35" s="132"/>
      <c r="G35" s="123" t="s">
        <v>32</v>
      </c>
      <c r="H35" s="125">
        <v>2874459.147061679</v>
      </c>
      <c r="K35" s="5" t="s">
        <v>32</v>
      </c>
      <c r="L35" s="126">
        <v>2990671.480443879</v>
      </c>
      <c r="N35" s="17"/>
      <c r="O35" s="17"/>
      <c r="P35" s="17"/>
      <c r="Q35" s="9"/>
      <c r="R35" s="9"/>
      <c r="S35" s="9"/>
      <c r="T35" s="9"/>
      <c r="U35" s="9"/>
    </row>
    <row r="36" spans="1:21" x14ac:dyDescent="0.2">
      <c r="A36" s="206" t="s">
        <v>267</v>
      </c>
      <c r="B36" s="206"/>
      <c r="C36" s="206"/>
      <c r="N36" s="14"/>
      <c r="O36" s="14"/>
      <c r="P36" s="14"/>
    </row>
    <row r="38" spans="1:21" x14ac:dyDescent="0.2">
      <c r="B38" s="24"/>
    </row>
    <row r="39" spans="1:21" ht="15" x14ac:dyDescent="0.25">
      <c r="B39" s="11"/>
    </row>
    <row r="41" spans="1:21" ht="15" x14ac:dyDescent="0.25">
      <c r="B41" s="13"/>
    </row>
    <row r="42" spans="1:21" x14ac:dyDescent="0.2">
      <c r="A42" s="138"/>
    </row>
  </sheetData>
  <mergeCells count="5">
    <mergeCell ref="A1:C1"/>
    <mergeCell ref="A2:C2"/>
    <mergeCell ref="G1:I1"/>
    <mergeCell ref="G2:I2"/>
    <mergeCell ref="A36:C3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rightToLeft="1" topLeftCell="A22" zoomScale="80" zoomScaleNormal="80" workbookViewId="0">
      <selection activeCell="A36" sqref="A36"/>
    </sheetView>
  </sheetViews>
  <sheetFormatPr defaultColWidth="9.125" defaultRowHeight="14.25" x14ac:dyDescent="0.2"/>
  <cols>
    <col min="1" max="1" width="10.125" style="14" customWidth="1"/>
    <col min="2" max="2" width="123" style="14" bestFit="1" customWidth="1"/>
    <col min="3" max="3" width="26.375" style="14" bestFit="1" customWidth="1"/>
    <col min="4" max="4" width="13.875" style="14" bestFit="1" customWidth="1"/>
    <col min="5" max="5" width="21.125" style="14" hidden="1" customWidth="1"/>
    <col min="6" max="7" width="0" style="14" hidden="1" customWidth="1"/>
    <col min="8" max="8" width="9.125" style="14"/>
    <col min="9" max="9" width="9.875" style="14" bestFit="1" customWidth="1"/>
    <col min="10" max="255" width="9.125" style="14"/>
    <col min="256" max="256" width="10.75" style="14" bestFit="1" customWidth="1"/>
    <col min="257" max="257" width="9" style="14" bestFit="1" customWidth="1"/>
    <col min="258" max="258" width="71.25" style="14" bestFit="1" customWidth="1"/>
    <col min="259" max="259" width="11.75" style="14" bestFit="1" customWidth="1"/>
    <col min="260" max="260" width="11.875" style="14" bestFit="1" customWidth="1"/>
    <col min="261" max="511" width="9.125" style="14"/>
    <col min="512" max="512" width="10.75" style="14" bestFit="1" customWidth="1"/>
    <col min="513" max="513" width="9" style="14" bestFit="1" customWidth="1"/>
    <col min="514" max="514" width="71.25" style="14" bestFit="1" customWidth="1"/>
    <col min="515" max="515" width="11.75" style="14" bestFit="1" customWidth="1"/>
    <col min="516" max="516" width="11.875" style="14" bestFit="1" customWidth="1"/>
    <col min="517" max="767" width="9.125" style="14"/>
    <col min="768" max="768" width="10.75" style="14" bestFit="1" customWidth="1"/>
    <col min="769" max="769" width="9" style="14" bestFit="1" customWidth="1"/>
    <col min="770" max="770" width="71.25" style="14" bestFit="1" customWidth="1"/>
    <col min="771" max="771" width="11.75" style="14" bestFit="1" customWidth="1"/>
    <col min="772" max="772" width="11.875" style="14" bestFit="1" customWidth="1"/>
    <col min="773" max="1023" width="9.125" style="14"/>
    <col min="1024" max="1024" width="10.75" style="14" bestFit="1" customWidth="1"/>
    <col min="1025" max="1025" width="9" style="14" bestFit="1" customWidth="1"/>
    <col min="1026" max="1026" width="71.25" style="14" bestFit="1" customWidth="1"/>
    <col min="1027" max="1027" width="11.75" style="14" bestFit="1" customWidth="1"/>
    <col min="1028" max="1028" width="11.875" style="14" bestFit="1" customWidth="1"/>
    <col min="1029" max="1279" width="9.125" style="14"/>
    <col min="1280" max="1280" width="10.75" style="14" bestFit="1" customWidth="1"/>
    <col min="1281" max="1281" width="9" style="14" bestFit="1" customWidth="1"/>
    <col min="1282" max="1282" width="71.25" style="14" bestFit="1" customWidth="1"/>
    <col min="1283" max="1283" width="11.75" style="14" bestFit="1" customWidth="1"/>
    <col min="1284" max="1284" width="11.875" style="14" bestFit="1" customWidth="1"/>
    <col min="1285" max="1535" width="9.125" style="14"/>
    <col min="1536" max="1536" width="10.75" style="14" bestFit="1" customWidth="1"/>
    <col min="1537" max="1537" width="9" style="14" bestFit="1" customWidth="1"/>
    <col min="1538" max="1538" width="71.25" style="14" bestFit="1" customWidth="1"/>
    <col min="1539" max="1539" width="11.75" style="14" bestFit="1" customWidth="1"/>
    <col min="1540" max="1540" width="11.875" style="14" bestFit="1" customWidth="1"/>
    <col min="1541" max="1791" width="9.125" style="14"/>
    <col min="1792" max="1792" width="10.75" style="14" bestFit="1" customWidth="1"/>
    <col min="1793" max="1793" width="9" style="14" bestFit="1" customWidth="1"/>
    <col min="1794" max="1794" width="71.25" style="14" bestFit="1" customWidth="1"/>
    <col min="1795" max="1795" width="11.75" style="14" bestFit="1" customWidth="1"/>
    <col min="1796" max="1796" width="11.875" style="14" bestFit="1" customWidth="1"/>
    <col min="1797" max="2047" width="9.125" style="14"/>
    <col min="2048" max="2048" width="10.75" style="14" bestFit="1" customWidth="1"/>
    <col min="2049" max="2049" width="9" style="14" bestFit="1" customWidth="1"/>
    <col min="2050" max="2050" width="71.25" style="14" bestFit="1" customWidth="1"/>
    <col min="2051" max="2051" width="11.75" style="14" bestFit="1" customWidth="1"/>
    <col min="2052" max="2052" width="11.875" style="14" bestFit="1" customWidth="1"/>
    <col min="2053" max="2303" width="9.125" style="14"/>
    <col min="2304" max="2304" width="10.75" style="14" bestFit="1" customWidth="1"/>
    <col min="2305" max="2305" width="9" style="14" bestFit="1" customWidth="1"/>
    <col min="2306" max="2306" width="71.25" style="14" bestFit="1" customWidth="1"/>
    <col min="2307" max="2307" width="11.75" style="14" bestFit="1" customWidth="1"/>
    <col min="2308" max="2308" width="11.875" style="14" bestFit="1" customWidth="1"/>
    <col min="2309" max="2559" width="9.125" style="14"/>
    <col min="2560" max="2560" width="10.75" style="14" bestFit="1" customWidth="1"/>
    <col min="2561" max="2561" width="9" style="14" bestFit="1" customWidth="1"/>
    <col min="2562" max="2562" width="71.25" style="14" bestFit="1" customWidth="1"/>
    <col min="2563" max="2563" width="11.75" style="14" bestFit="1" customWidth="1"/>
    <col min="2564" max="2564" width="11.875" style="14" bestFit="1" customWidth="1"/>
    <col min="2565" max="2815" width="9.125" style="14"/>
    <col min="2816" max="2816" width="10.75" style="14" bestFit="1" customWidth="1"/>
    <col min="2817" max="2817" width="9" style="14" bestFit="1" customWidth="1"/>
    <col min="2818" max="2818" width="71.25" style="14" bestFit="1" customWidth="1"/>
    <col min="2819" max="2819" width="11.75" style="14" bestFit="1" customWidth="1"/>
    <col min="2820" max="2820" width="11.875" style="14" bestFit="1" customWidth="1"/>
    <col min="2821" max="3071" width="9.125" style="14"/>
    <col min="3072" max="3072" width="10.75" style="14" bestFit="1" customWidth="1"/>
    <col min="3073" max="3073" width="9" style="14" bestFit="1" customWidth="1"/>
    <col min="3074" max="3074" width="71.25" style="14" bestFit="1" customWidth="1"/>
    <col min="3075" max="3075" width="11.75" style="14" bestFit="1" customWidth="1"/>
    <col min="3076" max="3076" width="11.875" style="14" bestFit="1" customWidth="1"/>
    <col min="3077" max="3327" width="9.125" style="14"/>
    <col min="3328" max="3328" width="10.75" style="14" bestFit="1" customWidth="1"/>
    <col min="3329" max="3329" width="9" style="14" bestFit="1" customWidth="1"/>
    <col min="3330" max="3330" width="71.25" style="14" bestFit="1" customWidth="1"/>
    <col min="3331" max="3331" width="11.75" style="14" bestFit="1" customWidth="1"/>
    <col min="3332" max="3332" width="11.875" style="14" bestFit="1" customWidth="1"/>
    <col min="3333" max="3583" width="9.125" style="14"/>
    <col min="3584" max="3584" width="10.75" style="14" bestFit="1" customWidth="1"/>
    <col min="3585" max="3585" width="9" style="14" bestFit="1" customWidth="1"/>
    <col min="3586" max="3586" width="71.25" style="14" bestFit="1" customWidth="1"/>
    <col min="3587" max="3587" width="11.75" style="14" bestFit="1" customWidth="1"/>
    <col min="3588" max="3588" width="11.875" style="14" bestFit="1" customWidth="1"/>
    <col min="3589" max="3839" width="9.125" style="14"/>
    <col min="3840" max="3840" width="10.75" style="14" bestFit="1" customWidth="1"/>
    <col min="3841" max="3841" width="9" style="14" bestFit="1" customWidth="1"/>
    <col min="3842" max="3842" width="71.25" style="14" bestFit="1" customWidth="1"/>
    <col min="3843" max="3843" width="11.75" style="14" bestFit="1" customWidth="1"/>
    <col min="3844" max="3844" width="11.875" style="14" bestFit="1" customWidth="1"/>
    <col min="3845" max="4095" width="9.125" style="14"/>
    <col min="4096" max="4096" width="10.75" style="14" bestFit="1" customWidth="1"/>
    <col min="4097" max="4097" width="9" style="14" bestFit="1" customWidth="1"/>
    <col min="4098" max="4098" width="71.25" style="14" bestFit="1" customWidth="1"/>
    <col min="4099" max="4099" width="11.75" style="14" bestFit="1" customWidth="1"/>
    <col min="4100" max="4100" width="11.875" style="14" bestFit="1" customWidth="1"/>
    <col min="4101" max="4351" width="9.125" style="14"/>
    <col min="4352" max="4352" width="10.75" style="14" bestFit="1" customWidth="1"/>
    <col min="4353" max="4353" width="9" style="14" bestFit="1" customWidth="1"/>
    <col min="4354" max="4354" width="71.25" style="14" bestFit="1" customWidth="1"/>
    <col min="4355" max="4355" width="11.75" style="14" bestFit="1" customWidth="1"/>
    <col min="4356" max="4356" width="11.875" style="14" bestFit="1" customWidth="1"/>
    <col min="4357" max="4607" width="9.125" style="14"/>
    <col min="4608" max="4608" width="10.75" style="14" bestFit="1" customWidth="1"/>
    <col min="4609" max="4609" width="9" style="14" bestFit="1" customWidth="1"/>
    <col min="4610" max="4610" width="71.25" style="14" bestFit="1" customWidth="1"/>
    <col min="4611" max="4611" width="11.75" style="14" bestFit="1" customWidth="1"/>
    <col min="4612" max="4612" width="11.875" style="14" bestFit="1" customWidth="1"/>
    <col min="4613" max="4863" width="9.125" style="14"/>
    <col min="4864" max="4864" width="10.75" style="14" bestFit="1" customWidth="1"/>
    <col min="4865" max="4865" width="9" style="14" bestFit="1" customWidth="1"/>
    <col min="4866" max="4866" width="71.25" style="14" bestFit="1" customWidth="1"/>
    <col min="4867" max="4867" width="11.75" style="14" bestFit="1" customWidth="1"/>
    <col min="4868" max="4868" width="11.875" style="14" bestFit="1" customWidth="1"/>
    <col min="4869" max="5119" width="9.125" style="14"/>
    <col min="5120" max="5120" width="10.75" style="14" bestFit="1" customWidth="1"/>
    <col min="5121" max="5121" width="9" style="14" bestFit="1" customWidth="1"/>
    <col min="5122" max="5122" width="71.25" style="14" bestFit="1" customWidth="1"/>
    <col min="5123" max="5123" width="11.75" style="14" bestFit="1" customWidth="1"/>
    <col min="5124" max="5124" width="11.875" style="14" bestFit="1" customWidth="1"/>
    <col min="5125" max="5375" width="9.125" style="14"/>
    <col min="5376" max="5376" width="10.75" style="14" bestFit="1" customWidth="1"/>
    <col min="5377" max="5377" width="9" style="14" bestFit="1" customWidth="1"/>
    <col min="5378" max="5378" width="71.25" style="14" bestFit="1" customWidth="1"/>
    <col min="5379" max="5379" width="11.75" style="14" bestFit="1" customWidth="1"/>
    <col min="5380" max="5380" width="11.875" style="14" bestFit="1" customWidth="1"/>
    <col min="5381" max="5631" width="9.125" style="14"/>
    <col min="5632" max="5632" width="10.75" style="14" bestFit="1" customWidth="1"/>
    <col min="5633" max="5633" width="9" style="14" bestFit="1" customWidth="1"/>
    <col min="5634" max="5634" width="71.25" style="14" bestFit="1" customWidth="1"/>
    <col min="5635" max="5635" width="11.75" style="14" bestFit="1" customWidth="1"/>
    <col min="5636" max="5636" width="11.875" style="14" bestFit="1" customWidth="1"/>
    <col min="5637" max="5887" width="9.125" style="14"/>
    <col min="5888" max="5888" width="10.75" style="14" bestFit="1" customWidth="1"/>
    <col min="5889" max="5889" width="9" style="14" bestFit="1" customWidth="1"/>
    <col min="5890" max="5890" width="71.25" style="14" bestFit="1" customWidth="1"/>
    <col min="5891" max="5891" width="11.75" style="14" bestFit="1" customWidth="1"/>
    <col min="5892" max="5892" width="11.875" style="14" bestFit="1" customWidth="1"/>
    <col min="5893" max="6143" width="9.125" style="14"/>
    <col min="6144" max="6144" width="10.75" style="14" bestFit="1" customWidth="1"/>
    <col min="6145" max="6145" width="9" style="14" bestFit="1" customWidth="1"/>
    <col min="6146" max="6146" width="71.25" style="14" bestFit="1" customWidth="1"/>
    <col min="6147" max="6147" width="11.75" style="14" bestFit="1" customWidth="1"/>
    <col min="6148" max="6148" width="11.875" style="14" bestFit="1" customWidth="1"/>
    <col min="6149" max="6399" width="9.125" style="14"/>
    <col min="6400" max="6400" width="10.75" style="14" bestFit="1" customWidth="1"/>
    <col min="6401" max="6401" width="9" style="14" bestFit="1" customWidth="1"/>
    <col min="6402" max="6402" width="71.25" style="14" bestFit="1" customWidth="1"/>
    <col min="6403" max="6403" width="11.75" style="14" bestFit="1" customWidth="1"/>
    <col min="6404" max="6404" width="11.875" style="14" bestFit="1" customWidth="1"/>
    <col min="6405" max="6655" width="9.125" style="14"/>
    <col min="6656" max="6656" width="10.75" style="14" bestFit="1" customWidth="1"/>
    <col min="6657" max="6657" width="9" style="14" bestFit="1" customWidth="1"/>
    <col min="6658" max="6658" width="71.25" style="14" bestFit="1" customWidth="1"/>
    <col min="6659" max="6659" width="11.75" style="14" bestFit="1" customWidth="1"/>
    <col min="6660" max="6660" width="11.875" style="14" bestFit="1" customWidth="1"/>
    <col min="6661" max="6911" width="9.125" style="14"/>
    <col min="6912" max="6912" width="10.75" style="14" bestFit="1" customWidth="1"/>
    <col min="6913" max="6913" width="9" style="14" bestFit="1" customWidth="1"/>
    <col min="6914" max="6914" width="71.25" style="14" bestFit="1" customWidth="1"/>
    <col min="6915" max="6915" width="11.75" style="14" bestFit="1" customWidth="1"/>
    <col min="6916" max="6916" width="11.875" style="14" bestFit="1" customWidth="1"/>
    <col min="6917" max="7167" width="9.125" style="14"/>
    <col min="7168" max="7168" width="10.75" style="14" bestFit="1" customWidth="1"/>
    <col min="7169" max="7169" width="9" style="14" bestFit="1" customWidth="1"/>
    <col min="7170" max="7170" width="71.25" style="14" bestFit="1" customWidth="1"/>
    <col min="7171" max="7171" width="11.75" style="14" bestFit="1" customWidth="1"/>
    <col min="7172" max="7172" width="11.875" style="14" bestFit="1" customWidth="1"/>
    <col min="7173" max="7423" width="9.125" style="14"/>
    <col min="7424" max="7424" width="10.75" style="14" bestFit="1" customWidth="1"/>
    <col min="7425" max="7425" width="9" style="14" bestFit="1" customWidth="1"/>
    <col min="7426" max="7426" width="71.25" style="14" bestFit="1" customWidth="1"/>
    <col min="7427" max="7427" width="11.75" style="14" bestFit="1" customWidth="1"/>
    <col min="7428" max="7428" width="11.875" style="14" bestFit="1" customWidth="1"/>
    <col min="7429" max="7679" width="9.125" style="14"/>
    <col min="7680" max="7680" width="10.75" style="14" bestFit="1" customWidth="1"/>
    <col min="7681" max="7681" width="9" style="14" bestFit="1" customWidth="1"/>
    <col min="7682" max="7682" width="71.25" style="14" bestFit="1" customWidth="1"/>
    <col min="7683" max="7683" width="11.75" style="14" bestFit="1" customWidth="1"/>
    <col min="7684" max="7684" width="11.875" style="14" bestFit="1" customWidth="1"/>
    <col min="7685" max="7935" width="9.125" style="14"/>
    <col min="7936" max="7936" width="10.75" style="14" bestFit="1" customWidth="1"/>
    <col min="7937" max="7937" width="9" style="14" bestFit="1" customWidth="1"/>
    <col min="7938" max="7938" width="71.25" style="14" bestFit="1" customWidth="1"/>
    <col min="7939" max="7939" width="11.75" style="14" bestFit="1" customWidth="1"/>
    <col min="7940" max="7940" width="11.875" style="14" bestFit="1" customWidth="1"/>
    <col min="7941" max="8191" width="9.125" style="14"/>
    <col min="8192" max="8192" width="10.75" style="14" bestFit="1" customWidth="1"/>
    <col min="8193" max="8193" width="9" style="14" bestFit="1" customWidth="1"/>
    <col min="8194" max="8194" width="71.25" style="14" bestFit="1" customWidth="1"/>
    <col min="8195" max="8195" width="11.75" style="14" bestFit="1" customWidth="1"/>
    <col min="8196" max="8196" width="11.875" style="14" bestFit="1" customWidth="1"/>
    <col min="8197" max="8447" width="9.125" style="14"/>
    <col min="8448" max="8448" width="10.75" style="14" bestFit="1" customWidth="1"/>
    <col min="8449" max="8449" width="9" style="14" bestFit="1" customWidth="1"/>
    <col min="8450" max="8450" width="71.25" style="14" bestFit="1" customWidth="1"/>
    <col min="8451" max="8451" width="11.75" style="14" bestFit="1" customWidth="1"/>
    <col min="8452" max="8452" width="11.875" style="14" bestFit="1" customWidth="1"/>
    <col min="8453" max="8703" width="9.125" style="14"/>
    <col min="8704" max="8704" width="10.75" style="14" bestFit="1" customWidth="1"/>
    <col min="8705" max="8705" width="9" style="14" bestFit="1" customWidth="1"/>
    <col min="8706" max="8706" width="71.25" style="14" bestFit="1" customWidth="1"/>
    <col min="8707" max="8707" width="11.75" style="14" bestFit="1" customWidth="1"/>
    <col min="8708" max="8708" width="11.875" style="14" bestFit="1" customWidth="1"/>
    <col min="8709" max="8959" width="9.125" style="14"/>
    <col min="8960" max="8960" width="10.75" style="14" bestFit="1" customWidth="1"/>
    <col min="8961" max="8961" width="9" style="14" bestFit="1" customWidth="1"/>
    <col min="8962" max="8962" width="71.25" style="14" bestFit="1" customWidth="1"/>
    <col min="8963" max="8963" width="11.75" style="14" bestFit="1" customWidth="1"/>
    <col min="8964" max="8964" width="11.875" style="14" bestFit="1" customWidth="1"/>
    <col min="8965" max="9215" width="9.125" style="14"/>
    <col min="9216" max="9216" width="10.75" style="14" bestFit="1" customWidth="1"/>
    <col min="9217" max="9217" width="9" style="14" bestFit="1" customWidth="1"/>
    <col min="9218" max="9218" width="71.25" style="14" bestFit="1" customWidth="1"/>
    <col min="9219" max="9219" width="11.75" style="14" bestFit="1" customWidth="1"/>
    <col min="9220" max="9220" width="11.875" style="14" bestFit="1" customWidth="1"/>
    <col min="9221" max="9471" width="9.125" style="14"/>
    <col min="9472" max="9472" width="10.75" style="14" bestFit="1" customWidth="1"/>
    <col min="9473" max="9473" width="9" style="14" bestFit="1" customWidth="1"/>
    <col min="9474" max="9474" width="71.25" style="14" bestFit="1" customWidth="1"/>
    <col min="9475" max="9475" width="11.75" style="14" bestFit="1" customWidth="1"/>
    <col min="9476" max="9476" width="11.875" style="14" bestFit="1" customWidth="1"/>
    <col min="9477" max="9727" width="9.125" style="14"/>
    <col min="9728" max="9728" width="10.75" style="14" bestFit="1" customWidth="1"/>
    <col min="9729" max="9729" width="9" style="14" bestFit="1" customWidth="1"/>
    <col min="9730" max="9730" width="71.25" style="14" bestFit="1" customWidth="1"/>
    <col min="9731" max="9731" width="11.75" style="14" bestFit="1" customWidth="1"/>
    <col min="9732" max="9732" width="11.875" style="14" bestFit="1" customWidth="1"/>
    <col min="9733" max="9983" width="9.125" style="14"/>
    <col min="9984" max="9984" width="10.75" style="14" bestFit="1" customWidth="1"/>
    <col min="9985" max="9985" width="9" style="14" bestFit="1" customWidth="1"/>
    <col min="9986" max="9986" width="71.25" style="14" bestFit="1" customWidth="1"/>
    <col min="9987" max="9987" width="11.75" style="14" bestFit="1" customWidth="1"/>
    <col min="9988" max="9988" width="11.875" style="14" bestFit="1" customWidth="1"/>
    <col min="9989" max="10239" width="9.125" style="14"/>
    <col min="10240" max="10240" width="10.75" style="14" bestFit="1" customWidth="1"/>
    <col min="10241" max="10241" width="9" style="14" bestFit="1" customWidth="1"/>
    <col min="10242" max="10242" width="71.25" style="14" bestFit="1" customWidth="1"/>
    <col min="10243" max="10243" width="11.75" style="14" bestFit="1" customWidth="1"/>
    <col min="10244" max="10244" width="11.875" style="14" bestFit="1" customWidth="1"/>
    <col min="10245" max="10495" width="9.125" style="14"/>
    <col min="10496" max="10496" width="10.75" style="14" bestFit="1" customWidth="1"/>
    <col min="10497" max="10497" width="9" style="14" bestFit="1" customWidth="1"/>
    <col min="10498" max="10498" width="71.25" style="14" bestFit="1" customWidth="1"/>
    <col min="10499" max="10499" width="11.75" style="14" bestFit="1" customWidth="1"/>
    <col min="10500" max="10500" width="11.875" style="14" bestFit="1" customWidth="1"/>
    <col min="10501" max="10751" width="9.125" style="14"/>
    <col min="10752" max="10752" width="10.75" style="14" bestFit="1" customWidth="1"/>
    <col min="10753" max="10753" width="9" style="14" bestFit="1" customWidth="1"/>
    <col min="10754" max="10754" width="71.25" style="14" bestFit="1" customWidth="1"/>
    <col min="10755" max="10755" width="11.75" style="14" bestFit="1" customWidth="1"/>
    <col min="10756" max="10756" width="11.875" style="14" bestFit="1" customWidth="1"/>
    <col min="10757" max="11007" width="9.125" style="14"/>
    <col min="11008" max="11008" width="10.75" style="14" bestFit="1" customWidth="1"/>
    <col min="11009" max="11009" width="9" style="14" bestFit="1" customWidth="1"/>
    <col min="11010" max="11010" width="71.25" style="14" bestFit="1" customWidth="1"/>
    <col min="11011" max="11011" width="11.75" style="14" bestFit="1" customWidth="1"/>
    <col min="11012" max="11012" width="11.875" style="14" bestFit="1" customWidth="1"/>
    <col min="11013" max="11263" width="9.125" style="14"/>
    <col min="11264" max="11264" width="10.75" style="14" bestFit="1" customWidth="1"/>
    <col min="11265" max="11265" width="9" style="14" bestFit="1" customWidth="1"/>
    <col min="11266" max="11266" width="71.25" style="14" bestFit="1" customWidth="1"/>
    <col min="11267" max="11267" width="11.75" style="14" bestFit="1" customWidth="1"/>
    <col min="11268" max="11268" width="11.875" style="14" bestFit="1" customWidth="1"/>
    <col min="11269" max="11519" width="9.125" style="14"/>
    <col min="11520" max="11520" width="10.75" style="14" bestFit="1" customWidth="1"/>
    <col min="11521" max="11521" width="9" style="14" bestFit="1" customWidth="1"/>
    <col min="11522" max="11522" width="71.25" style="14" bestFit="1" customWidth="1"/>
    <col min="11523" max="11523" width="11.75" style="14" bestFit="1" customWidth="1"/>
    <col min="11524" max="11524" width="11.875" style="14" bestFit="1" customWidth="1"/>
    <col min="11525" max="11775" width="9.125" style="14"/>
    <col min="11776" max="11776" width="10.75" style="14" bestFit="1" customWidth="1"/>
    <col min="11777" max="11777" width="9" style="14" bestFit="1" customWidth="1"/>
    <col min="11778" max="11778" width="71.25" style="14" bestFit="1" customWidth="1"/>
    <col min="11779" max="11779" width="11.75" style="14" bestFit="1" customWidth="1"/>
    <col min="11780" max="11780" width="11.875" style="14" bestFit="1" customWidth="1"/>
    <col min="11781" max="12031" width="9.125" style="14"/>
    <col min="12032" max="12032" width="10.75" style="14" bestFit="1" customWidth="1"/>
    <col min="12033" max="12033" width="9" style="14" bestFit="1" customWidth="1"/>
    <col min="12034" max="12034" width="71.25" style="14" bestFit="1" customWidth="1"/>
    <col min="12035" max="12035" width="11.75" style="14" bestFit="1" customWidth="1"/>
    <col min="12036" max="12036" width="11.875" style="14" bestFit="1" customWidth="1"/>
    <col min="12037" max="12287" width="9.125" style="14"/>
    <col min="12288" max="12288" width="10.75" style="14" bestFit="1" customWidth="1"/>
    <col min="12289" max="12289" width="9" style="14" bestFit="1" customWidth="1"/>
    <col min="12290" max="12290" width="71.25" style="14" bestFit="1" customWidth="1"/>
    <col min="12291" max="12291" width="11.75" style="14" bestFit="1" customWidth="1"/>
    <col min="12292" max="12292" width="11.875" style="14" bestFit="1" customWidth="1"/>
    <col min="12293" max="12543" width="9.125" style="14"/>
    <col min="12544" max="12544" width="10.75" style="14" bestFit="1" customWidth="1"/>
    <col min="12545" max="12545" width="9" style="14" bestFit="1" customWidth="1"/>
    <col min="12546" max="12546" width="71.25" style="14" bestFit="1" customWidth="1"/>
    <col min="12547" max="12547" width="11.75" style="14" bestFit="1" customWidth="1"/>
    <col min="12548" max="12548" width="11.875" style="14" bestFit="1" customWidth="1"/>
    <col min="12549" max="12799" width="9.125" style="14"/>
    <col min="12800" max="12800" width="10.75" style="14" bestFit="1" customWidth="1"/>
    <col min="12801" max="12801" width="9" style="14" bestFit="1" customWidth="1"/>
    <col min="12802" max="12802" width="71.25" style="14" bestFit="1" customWidth="1"/>
    <col min="12803" max="12803" width="11.75" style="14" bestFit="1" customWidth="1"/>
    <col min="12804" max="12804" width="11.875" style="14" bestFit="1" customWidth="1"/>
    <col min="12805" max="13055" width="9.125" style="14"/>
    <col min="13056" max="13056" width="10.75" style="14" bestFit="1" customWidth="1"/>
    <col min="13057" max="13057" width="9" style="14" bestFit="1" customWidth="1"/>
    <col min="13058" max="13058" width="71.25" style="14" bestFit="1" customWidth="1"/>
    <col min="13059" max="13059" width="11.75" style="14" bestFit="1" customWidth="1"/>
    <col min="13060" max="13060" width="11.875" style="14" bestFit="1" customWidth="1"/>
    <col min="13061" max="13311" width="9.125" style="14"/>
    <col min="13312" max="13312" width="10.75" style="14" bestFit="1" customWidth="1"/>
    <col min="13313" max="13313" width="9" style="14" bestFit="1" customWidth="1"/>
    <col min="13314" max="13314" width="71.25" style="14" bestFit="1" customWidth="1"/>
    <col min="13315" max="13315" width="11.75" style="14" bestFit="1" customWidth="1"/>
    <col min="13316" max="13316" width="11.875" style="14" bestFit="1" customWidth="1"/>
    <col min="13317" max="13567" width="9.125" style="14"/>
    <col min="13568" max="13568" width="10.75" style="14" bestFit="1" customWidth="1"/>
    <col min="13569" max="13569" width="9" style="14" bestFit="1" customWidth="1"/>
    <col min="13570" max="13570" width="71.25" style="14" bestFit="1" customWidth="1"/>
    <col min="13571" max="13571" width="11.75" style="14" bestFit="1" customWidth="1"/>
    <col min="13572" max="13572" width="11.875" style="14" bestFit="1" customWidth="1"/>
    <col min="13573" max="13823" width="9.125" style="14"/>
    <col min="13824" max="13824" width="10.75" style="14" bestFit="1" customWidth="1"/>
    <col min="13825" max="13825" width="9" style="14" bestFit="1" customWidth="1"/>
    <col min="13826" max="13826" width="71.25" style="14" bestFit="1" customWidth="1"/>
    <col min="13827" max="13827" width="11.75" style="14" bestFit="1" customWidth="1"/>
    <col min="13828" max="13828" width="11.875" style="14" bestFit="1" customWidth="1"/>
    <col min="13829" max="14079" width="9.125" style="14"/>
    <col min="14080" max="14080" width="10.75" style="14" bestFit="1" customWidth="1"/>
    <col min="14081" max="14081" width="9" style="14" bestFit="1" customWidth="1"/>
    <col min="14082" max="14082" width="71.25" style="14" bestFit="1" customWidth="1"/>
    <col min="14083" max="14083" width="11.75" style="14" bestFit="1" customWidth="1"/>
    <col min="14084" max="14084" width="11.875" style="14" bestFit="1" customWidth="1"/>
    <col min="14085" max="14335" width="9.125" style="14"/>
    <col min="14336" max="14336" width="10.75" style="14" bestFit="1" customWidth="1"/>
    <col min="14337" max="14337" width="9" style="14" bestFit="1" customWidth="1"/>
    <col min="14338" max="14338" width="71.25" style="14" bestFit="1" customWidth="1"/>
    <col min="14339" max="14339" width="11.75" style="14" bestFit="1" customWidth="1"/>
    <col min="14340" max="14340" width="11.875" style="14" bestFit="1" customWidth="1"/>
    <col min="14341" max="14591" width="9.125" style="14"/>
    <col min="14592" max="14592" width="10.75" style="14" bestFit="1" customWidth="1"/>
    <col min="14593" max="14593" width="9" style="14" bestFit="1" customWidth="1"/>
    <col min="14594" max="14594" width="71.25" style="14" bestFit="1" customWidth="1"/>
    <col min="14595" max="14595" width="11.75" style="14" bestFit="1" customWidth="1"/>
    <col min="14596" max="14596" width="11.875" style="14" bestFit="1" customWidth="1"/>
    <col min="14597" max="14847" width="9.125" style="14"/>
    <col min="14848" max="14848" width="10.75" style="14" bestFit="1" customWidth="1"/>
    <col min="14849" max="14849" width="9" style="14" bestFit="1" customWidth="1"/>
    <col min="14850" max="14850" width="71.25" style="14" bestFit="1" customWidth="1"/>
    <col min="14851" max="14851" width="11.75" style="14" bestFit="1" customWidth="1"/>
    <col min="14852" max="14852" width="11.875" style="14" bestFit="1" customWidth="1"/>
    <col min="14853" max="15103" width="9.125" style="14"/>
    <col min="15104" max="15104" width="10.75" style="14" bestFit="1" customWidth="1"/>
    <col min="15105" max="15105" width="9" style="14" bestFit="1" customWidth="1"/>
    <col min="15106" max="15106" width="71.25" style="14" bestFit="1" customWidth="1"/>
    <col min="15107" max="15107" width="11.75" style="14" bestFit="1" customWidth="1"/>
    <col min="15108" max="15108" width="11.875" style="14" bestFit="1" customWidth="1"/>
    <col min="15109" max="15359" width="9.125" style="14"/>
    <col min="15360" max="15360" width="10.75" style="14" bestFit="1" customWidth="1"/>
    <col min="15361" max="15361" width="9" style="14" bestFit="1" customWidth="1"/>
    <col min="15362" max="15362" width="71.25" style="14" bestFit="1" customWidth="1"/>
    <col min="15363" max="15363" width="11.75" style="14" bestFit="1" customWidth="1"/>
    <col min="15364" max="15364" width="11.875" style="14" bestFit="1" customWidth="1"/>
    <col min="15365" max="15615" width="9.125" style="14"/>
    <col min="15616" max="15616" width="10.75" style="14" bestFit="1" customWidth="1"/>
    <col min="15617" max="15617" width="9" style="14" bestFit="1" customWidth="1"/>
    <col min="15618" max="15618" width="71.25" style="14" bestFit="1" customWidth="1"/>
    <col min="15619" max="15619" width="11.75" style="14" bestFit="1" customWidth="1"/>
    <col min="15620" max="15620" width="11.875" style="14" bestFit="1" customWidth="1"/>
    <col min="15621" max="15871" width="9.125" style="14"/>
    <col min="15872" max="15872" width="10.75" style="14" bestFit="1" customWidth="1"/>
    <col min="15873" max="15873" width="9" style="14" bestFit="1" customWidth="1"/>
    <col min="15874" max="15874" width="71.25" style="14" bestFit="1" customWidth="1"/>
    <col min="15875" max="15875" width="11.75" style="14" bestFit="1" customWidth="1"/>
    <col min="15876" max="15876" width="11.875" style="14" bestFit="1" customWidth="1"/>
    <col min="15877" max="16127" width="9.125" style="14"/>
    <col min="16128" max="16128" width="10.75" style="14" bestFit="1" customWidth="1"/>
    <col min="16129" max="16129" width="9" style="14" bestFit="1" customWidth="1"/>
    <col min="16130" max="16130" width="71.25" style="14" bestFit="1" customWidth="1"/>
    <col min="16131" max="16131" width="11.75" style="14" bestFit="1" customWidth="1"/>
    <col min="16132" max="16132" width="11.875" style="14" bestFit="1" customWidth="1"/>
    <col min="16133" max="16384" width="9.125" style="14"/>
  </cols>
  <sheetData>
    <row r="1" spans="1:10" s="178" customFormat="1" ht="30" customHeight="1" x14ac:dyDescent="0.2">
      <c r="A1" s="207" t="s">
        <v>261</v>
      </c>
      <c r="B1" s="207"/>
      <c r="C1" s="207"/>
      <c r="D1" s="207"/>
    </row>
    <row r="2" spans="1:10" hidden="1" x14ac:dyDescent="0.2">
      <c r="B2" s="15"/>
      <c r="C2" s="15"/>
      <c r="D2" s="15"/>
      <c r="E2" s="15"/>
      <c r="F2" s="15"/>
      <c r="G2" s="15"/>
      <c r="H2" s="167"/>
      <c r="I2" s="15"/>
      <c r="J2" s="15"/>
    </row>
    <row r="3" spans="1:10" s="17" customFormat="1" x14ac:dyDescent="0.2">
      <c r="A3" s="16" t="s">
        <v>33</v>
      </c>
      <c r="B3" s="17" t="s">
        <v>1</v>
      </c>
      <c r="C3" s="18" t="s">
        <v>2</v>
      </c>
      <c r="D3" s="17" t="s">
        <v>3</v>
      </c>
      <c r="E3" s="17" t="s">
        <v>34</v>
      </c>
      <c r="H3" s="168"/>
    </row>
    <row r="4" spans="1:10" s="17" customFormat="1" ht="15" x14ac:dyDescent="0.25">
      <c r="A4" s="182" t="s">
        <v>266</v>
      </c>
      <c r="B4" s="19" t="s">
        <v>4</v>
      </c>
      <c r="C4" s="20">
        <f>SUM(C5:C6)</f>
        <v>965.87</v>
      </c>
      <c r="D4" s="179" t="s">
        <v>266</v>
      </c>
      <c r="E4" s="21"/>
      <c r="H4" s="168"/>
    </row>
    <row r="5" spans="1:10" s="17" customFormat="1" ht="15" x14ac:dyDescent="0.25">
      <c r="A5" s="22" t="s">
        <v>35</v>
      </c>
      <c r="B5" s="22" t="s">
        <v>5</v>
      </c>
      <c r="C5" s="18">
        <f>'נספח 2- כללי'!B7</f>
        <v>0</v>
      </c>
      <c r="D5" s="23">
        <f>C5/$C$30</f>
        <v>0</v>
      </c>
      <c r="E5" s="24">
        <f>C5*1000</f>
        <v>0</v>
      </c>
      <c r="H5" s="168"/>
    </row>
    <row r="6" spans="1:10" s="17" customFormat="1" ht="15" x14ac:dyDescent="0.25">
      <c r="A6" s="22" t="s">
        <v>36</v>
      </c>
      <c r="B6" s="22" t="s">
        <v>6</v>
      </c>
      <c r="C6" s="18">
        <f>'נספח 2- כללי'!B15</f>
        <v>965.87</v>
      </c>
      <c r="D6" s="23">
        <f t="shared" ref="D6:D30" si="0">C6/$C$30</f>
        <v>3.5158330242308444E-4</v>
      </c>
      <c r="E6" s="24">
        <f t="shared" ref="E6:E32" si="1">C6*1000</f>
        <v>965870</v>
      </c>
      <c r="H6" s="168"/>
    </row>
    <row r="7" spans="1:10" s="17" customFormat="1" ht="15" x14ac:dyDescent="0.25">
      <c r="A7" s="182" t="s">
        <v>266</v>
      </c>
      <c r="B7" s="19" t="s">
        <v>7</v>
      </c>
      <c r="C7" s="20">
        <f>SUM(C8:C9)</f>
        <v>104.45</v>
      </c>
      <c r="D7" s="179" t="s">
        <v>266</v>
      </c>
      <c r="E7" s="26"/>
      <c r="H7" s="168"/>
    </row>
    <row r="8" spans="1:10" s="17" customFormat="1" ht="15" x14ac:dyDescent="0.25">
      <c r="A8" s="22" t="s">
        <v>37</v>
      </c>
      <c r="B8" s="22" t="s">
        <v>8</v>
      </c>
      <c r="C8" s="18">
        <v>0</v>
      </c>
      <c r="D8" s="23">
        <f t="shared" si="0"/>
        <v>0</v>
      </c>
      <c r="E8" s="24">
        <f t="shared" si="1"/>
        <v>0</v>
      </c>
      <c r="H8" s="168"/>
    </row>
    <row r="9" spans="1:10" s="17" customFormat="1" ht="15" x14ac:dyDescent="0.25">
      <c r="A9" s="22" t="s">
        <v>38</v>
      </c>
      <c r="B9" s="22" t="s">
        <v>9</v>
      </c>
      <c r="C9" s="18">
        <f>'נספח 2- כללי'!B24</f>
        <v>104.45</v>
      </c>
      <c r="D9" s="23">
        <f t="shared" si="0"/>
        <v>3.8020516154442285E-5</v>
      </c>
      <c r="E9" s="24">
        <f t="shared" si="1"/>
        <v>104450</v>
      </c>
      <c r="H9" s="168"/>
    </row>
    <row r="10" spans="1:10" s="17" customFormat="1" ht="15" x14ac:dyDescent="0.25">
      <c r="A10" s="182" t="s">
        <v>266</v>
      </c>
      <c r="B10" s="19" t="s">
        <v>10</v>
      </c>
      <c r="C10" s="20">
        <f>SUM(C11:C13)</f>
        <v>0</v>
      </c>
      <c r="D10" s="179" t="s">
        <v>266</v>
      </c>
      <c r="E10" s="26"/>
      <c r="H10" s="168"/>
    </row>
    <row r="11" spans="1:10" s="30" customFormat="1" ht="15" x14ac:dyDescent="0.25">
      <c r="A11" s="27" t="s">
        <v>39</v>
      </c>
      <c r="B11" s="27" t="s">
        <v>11</v>
      </c>
      <c r="C11" s="28">
        <v>0</v>
      </c>
      <c r="D11" s="29">
        <f t="shared" si="0"/>
        <v>0</v>
      </c>
      <c r="E11" s="24">
        <f t="shared" si="1"/>
        <v>0</v>
      </c>
      <c r="H11" s="169"/>
    </row>
    <row r="12" spans="1:10" s="30" customFormat="1" ht="15" x14ac:dyDescent="0.25">
      <c r="A12" s="27" t="s">
        <v>40</v>
      </c>
      <c r="B12" s="27" t="s">
        <v>12</v>
      </c>
      <c r="C12" s="28">
        <v>0</v>
      </c>
      <c r="D12" s="29">
        <f t="shared" si="0"/>
        <v>0</v>
      </c>
      <c r="E12" s="24">
        <f t="shared" si="1"/>
        <v>0</v>
      </c>
      <c r="H12" s="169"/>
    </row>
    <row r="13" spans="1:10" s="30" customFormat="1" ht="15" x14ac:dyDescent="0.25">
      <c r="A13" s="27" t="s">
        <v>41</v>
      </c>
      <c r="B13" s="27" t="s">
        <v>13</v>
      </c>
      <c r="C13" s="28">
        <v>0</v>
      </c>
      <c r="D13" s="29">
        <f t="shared" si="0"/>
        <v>0</v>
      </c>
      <c r="E13" s="24">
        <f t="shared" si="1"/>
        <v>0</v>
      </c>
      <c r="H13" s="169"/>
    </row>
    <row r="14" spans="1:10" s="30" customFormat="1" ht="15" x14ac:dyDescent="0.25">
      <c r="A14" s="182" t="s">
        <v>266</v>
      </c>
      <c r="B14" s="19" t="s">
        <v>14</v>
      </c>
      <c r="C14" s="20">
        <f>SUM(C15:C22)</f>
        <v>2316.3582092370475</v>
      </c>
      <c r="D14" s="179" t="s">
        <v>266</v>
      </c>
      <c r="E14" s="26"/>
      <c r="H14" s="169"/>
    </row>
    <row r="15" spans="1:10" s="30" customFormat="1" ht="15" x14ac:dyDescent="0.25">
      <c r="A15" s="27" t="s">
        <v>42</v>
      </c>
      <c r="B15" s="27" t="s">
        <v>15</v>
      </c>
      <c r="C15" s="28">
        <f>'נספח 3 - כללי'!B15</f>
        <v>384.34455923704729</v>
      </c>
      <c r="D15" s="29">
        <f t="shared" si="0"/>
        <v>1.3990405479506133E-4</v>
      </c>
      <c r="E15" s="24">
        <f t="shared" si="1"/>
        <v>384344.55923704727</v>
      </c>
      <c r="H15" s="169"/>
      <c r="I15" s="171"/>
    </row>
    <row r="16" spans="1:10" s="30" customFormat="1" ht="15" x14ac:dyDescent="0.25">
      <c r="A16" s="27" t="s">
        <v>43</v>
      </c>
      <c r="B16" s="27" t="s">
        <v>16</v>
      </c>
      <c r="C16" s="28">
        <f>'נספח 3 - כללי'!B29</f>
        <v>408.19365000000005</v>
      </c>
      <c r="D16" s="29">
        <f t="shared" si="0"/>
        <v>1.4858528735247259E-4</v>
      </c>
      <c r="E16" s="24">
        <f t="shared" si="1"/>
        <v>408193.65</v>
      </c>
      <c r="H16" s="169"/>
    </row>
    <row r="17" spans="1:9" s="30" customFormat="1" ht="15" x14ac:dyDescent="0.25">
      <c r="A17" s="27" t="s">
        <v>44</v>
      </c>
      <c r="B17" s="27" t="s">
        <v>17</v>
      </c>
      <c r="C17" s="28">
        <v>0</v>
      </c>
      <c r="D17" s="29">
        <f t="shared" si="0"/>
        <v>0</v>
      </c>
      <c r="E17" s="24">
        <f t="shared" si="1"/>
        <v>0</v>
      </c>
      <c r="H17" s="169"/>
    </row>
    <row r="18" spans="1:9" s="30" customFormat="1" ht="15" x14ac:dyDescent="0.25">
      <c r="A18" s="27" t="s">
        <v>45</v>
      </c>
      <c r="B18" s="27" t="s">
        <v>18</v>
      </c>
      <c r="C18" s="28">
        <f>'נספח 3 - כללי'!B54</f>
        <v>88.9</v>
      </c>
      <c r="D18" s="29">
        <f t="shared" si="0"/>
        <v>3.2360209536906837E-5</v>
      </c>
      <c r="E18" s="24">
        <f t="shared" si="1"/>
        <v>88900</v>
      </c>
      <c r="H18" s="169"/>
    </row>
    <row r="19" spans="1:9" s="30" customFormat="1" ht="15" x14ac:dyDescent="0.25">
      <c r="A19" s="27" t="s">
        <v>46</v>
      </c>
      <c r="B19" s="27" t="s">
        <v>19</v>
      </c>
      <c r="C19" s="28">
        <f>'נספח 3 - כללי'!B67</f>
        <v>519.05999999999995</v>
      </c>
      <c r="D19" s="29">
        <f t="shared" si="0"/>
        <v>1.8894139890018966E-4</v>
      </c>
      <c r="E19" s="24">
        <f t="shared" si="1"/>
        <v>519059.99999999994</v>
      </c>
      <c r="H19" s="168"/>
    </row>
    <row r="20" spans="1:9" s="30" customFormat="1" ht="15" x14ac:dyDescent="0.25">
      <c r="A20" s="27" t="s">
        <v>47</v>
      </c>
      <c r="B20" s="27" t="s">
        <v>20</v>
      </c>
      <c r="C20" s="28">
        <f>'נספח 3 - כללי'!B175</f>
        <v>915.86000000000024</v>
      </c>
      <c r="D20" s="29">
        <f t="shared" si="0"/>
        <v>3.3337931953286281E-4</v>
      </c>
      <c r="E20" s="24">
        <f t="shared" si="1"/>
        <v>915860.00000000023</v>
      </c>
      <c r="H20" s="169"/>
      <c r="I20" s="171"/>
    </row>
    <row r="21" spans="1:9" s="30" customFormat="1" ht="15" x14ac:dyDescent="0.25">
      <c r="A21" s="27" t="s">
        <v>48</v>
      </c>
      <c r="B21" s="27" t="s">
        <v>21</v>
      </c>
      <c r="C21" s="28">
        <f>'נספח 3 - כללי'!B43</f>
        <v>0</v>
      </c>
      <c r="D21" s="29">
        <f t="shared" si="0"/>
        <v>0</v>
      </c>
      <c r="E21" s="24">
        <f t="shared" si="1"/>
        <v>0</v>
      </c>
      <c r="H21" s="169"/>
    </row>
    <row r="22" spans="1:9" s="30" customFormat="1" ht="15" x14ac:dyDescent="0.25">
      <c r="A22" s="27" t="s">
        <v>49</v>
      </c>
      <c r="B22" s="27" t="s">
        <v>22</v>
      </c>
      <c r="C22" s="28">
        <v>0</v>
      </c>
      <c r="D22" s="29">
        <f t="shared" si="0"/>
        <v>0</v>
      </c>
      <c r="E22" s="24">
        <f t="shared" si="1"/>
        <v>0</v>
      </c>
      <c r="H22" s="169"/>
    </row>
    <row r="23" spans="1:9" s="30" customFormat="1" ht="15" x14ac:dyDescent="0.25">
      <c r="A23" s="182" t="s">
        <v>266</v>
      </c>
      <c r="B23" s="19" t="s">
        <v>23</v>
      </c>
      <c r="C23" s="20">
        <f>SUM(C24:C25)</f>
        <v>0</v>
      </c>
      <c r="D23" s="179" t="s">
        <v>266</v>
      </c>
      <c r="E23" s="26"/>
      <c r="H23" s="169"/>
    </row>
    <row r="24" spans="1:9" s="30" customFormat="1" ht="15" x14ac:dyDescent="0.25">
      <c r="A24" s="27" t="s">
        <v>50</v>
      </c>
      <c r="B24" s="27" t="s">
        <v>24</v>
      </c>
      <c r="C24" s="28">
        <v>0</v>
      </c>
      <c r="D24" s="29">
        <f t="shared" si="0"/>
        <v>0</v>
      </c>
      <c r="E24" s="24">
        <f t="shared" si="1"/>
        <v>0</v>
      </c>
      <c r="H24" s="169"/>
    </row>
    <row r="25" spans="1:9" s="30" customFormat="1" ht="15" x14ac:dyDescent="0.25">
      <c r="A25" s="27" t="s">
        <v>51</v>
      </c>
      <c r="B25" s="27" t="s">
        <v>25</v>
      </c>
      <c r="C25" s="28">
        <v>0</v>
      </c>
      <c r="D25" s="29">
        <f t="shared" si="0"/>
        <v>0</v>
      </c>
      <c r="E25" s="24">
        <f t="shared" si="1"/>
        <v>0</v>
      </c>
      <c r="H25" s="169"/>
    </row>
    <row r="26" spans="1:9" s="30" customFormat="1" ht="15" x14ac:dyDescent="0.25">
      <c r="A26" s="19" t="s">
        <v>52</v>
      </c>
      <c r="B26" s="19" t="s">
        <v>26</v>
      </c>
      <c r="C26" s="31">
        <f>C4+C7+C10+C14+C23</f>
        <v>3386.6782092370477</v>
      </c>
      <c r="D26" s="25">
        <f t="shared" si="0"/>
        <v>1.2327740886950199E-3</v>
      </c>
      <c r="E26" s="26">
        <f>SUM(E5:E25)</f>
        <v>3386678.2092370475</v>
      </c>
      <c r="H26" s="169"/>
    </row>
    <row r="27" spans="1:9" s="17" customFormat="1" ht="15" x14ac:dyDescent="0.25">
      <c r="A27" s="182" t="s">
        <v>266</v>
      </c>
      <c r="B27" s="22" t="s">
        <v>27</v>
      </c>
      <c r="C27" s="184" t="s">
        <v>266</v>
      </c>
      <c r="D27" s="180" t="s">
        <v>266</v>
      </c>
      <c r="E27" s="24" t="e">
        <f t="shared" si="1"/>
        <v>#VALUE!</v>
      </c>
      <c r="H27" s="168"/>
    </row>
    <row r="28" spans="1:9" s="17" customFormat="1" ht="15" x14ac:dyDescent="0.25">
      <c r="A28" s="22" t="s">
        <v>53</v>
      </c>
      <c r="B28" s="22" t="s">
        <v>28</v>
      </c>
      <c r="C28" s="23">
        <f>SUM(C11,C15:C22,C25)/C32</f>
        <v>8.5190734080404064E-4</v>
      </c>
      <c r="D28" s="23">
        <f t="shared" si="0"/>
        <v>3.101001130984011E-10</v>
      </c>
      <c r="E28" s="23">
        <f>SUM(E11,E15:E22,E25)/E32</f>
        <v>8.5190734080404064E-4</v>
      </c>
      <c r="H28" s="168"/>
    </row>
    <row r="29" spans="1:9" s="17" customFormat="1" ht="18.75" customHeight="1" x14ac:dyDescent="0.25">
      <c r="A29" s="22" t="s">
        <v>54</v>
      </c>
      <c r="B29" s="22" t="s">
        <v>29</v>
      </c>
      <c r="C29" s="23">
        <f>C26/C32</f>
        <v>1.2455482990001007E-3</v>
      </c>
      <c r="D29" s="23">
        <f t="shared" si="0"/>
        <v>4.5338812085468108E-10</v>
      </c>
      <c r="E29" s="23">
        <f>E26/E32</f>
        <v>1.2455482990001005E-3</v>
      </c>
      <c r="H29" s="168"/>
    </row>
    <row r="30" spans="1:9" s="17" customFormat="1" ht="15" x14ac:dyDescent="0.25">
      <c r="A30" s="181" t="s">
        <v>266</v>
      </c>
      <c r="B30" s="22" t="s">
        <v>30</v>
      </c>
      <c r="C30" s="13">
        <v>2747201</v>
      </c>
      <c r="D30" s="23">
        <f t="shared" si="0"/>
        <v>1</v>
      </c>
      <c r="E30" s="24">
        <f>C30*1000</f>
        <v>2747201000</v>
      </c>
      <c r="F30" s="136" t="s">
        <v>232</v>
      </c>
      <c r="H30" s="168"/>
    </row>
    <row r="31" spans="1:9" s="17" customFormat="1" ht="15" hidden="1" x14ac:dyDescent="0.25">
      <c r="A31" s="22"/>
      <c r="B31" s="22"/>
      <c r="C31" s="13"/>
      <c r="D31" s="33"/>
      <c r="E31" s="24">
        <f t="shared" si="1"/>
        <v>0</v>
      </c>
      <c r="H31" s="168"/>
    </row>
    <row r="32" spans="1:9" s="17" customFormat="1" ht="30" customHeight="1" x14ac:dyDescent="0.25">
      <c r="A32" s="22" t="s">
        <v>55</v>
      </c>
      <c r="B32" s="22" t="s">
        <v>31</v>
      </c>
      <c r="C32" s="13">
        <v>2719026</v>
      </c>
      <c r="D32" s="34">
        <f>C32-C33</f>
        <v>2719026</v>
      </c>
      <c r="E32" s="24">
        <f t="shared" si="1"/>
        <v>2719026000</v>
      </c>
      <c r="F32" s="135" t="s">
        <v>232</v>
      </c>
      <c r="H32" s="168"/>
    </row>
    <row r="33" spans="1:8" hidden="1" x14ac:dyDescent="0.2">
      <c r="H33" s="170"/>
    </row>
    <row r="34" spans="1:8" s="17" customFormat="1" ht="30" customHeight="1" x14ac:dyDescent="0.25">
      <c r="A34" s="22" t="s">
        <v>55</v>
      </c>
      <c r="B34" s="22" t="s">
        <v>32</v>
      </c>
      <c r="C34" s="13">
        <f>AVERAGE(C30,C32)</f>
        <v>2733113.5</v>
      </c>
      <c r="D34" s="183" t="s">
        <v>266</v>
      </c>
      <c r="H34" s="168"/>
    </row>
    <row r="35" spans="1:8" x14ac:dyDescent="0.2">
      <c r="A35" s="208" t="s">
        <v>267</v>
      </c>
      <c r="B35" s="208"/>
      <c r="C35" s="208"/>
      <c r="D35" s="208"/>
      <c r="H35" s="170"/>
    </row>
    <row r="36" spans="1:8" x14ac:dyDescent="0.2">
      <c r="B36" s="131"/>
      <c r="H36" s="170"/>
    </row>
    <row r="38" spans="1:8" ht="15.75" x14ac:dyDescent="0.2">
      <c r="C38" s="134"/>
    </row>
    <row r="40" spans="1:8" x14ac:dyDescent="0.2">
      <c r="C40" s="37"/>
    </row>
    <row r="41" spans="1:8" ht="15" x14ac:dyDescent="0.25">
      <c r="B41" s="32"/>
      <c r="C41" s="37"/>
    </row>
    <row r="43" spans="1:8" ht="15" x14ac:dyDescent="0.25">
      <c r="B43" s="32"/>
    </row>
    <row r="44" spans="1:8" x14ac:dyDescent="0.2">
      <c r="B44" s="131"/>
    </row>
    <row r="45" spans="1:8" x14ac:dyDescent="0.2">
      <c r="B45" s="139"/>
    </row>
    <row r="46" spans="1:8" ht="15" x14ac:dyDescent="0.25">
      <c r="B46" s="137"/>
    </row>
  </sheetData>
  <mergeCells count="2">
    <mergeCell ref="A1:D1"/>
    <mergeCell ref="A35:D3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rightToLeft="1" topLeftCell="A16" zoomScale="75" zoomScaleNormal="75" workbookViewId="0">
      <selection activeCell="A36" sqref="A36"/>
    </sheetView>
  </sheetViews>
  <sheetFormatPr defaultColWidth="9.125" defaultRowHeight="14.25" x14ac:dyDescent="0.2"/>
  <cols>
    <col min="1" max="1" width="10.125" style="14" customWidth="1"/>
    <col min="2" max="2" width="132" style="14" bestFit="1" customWidth="1"/>
    <col min="3" max="3" width="14.625" style="14" bestFit="1" customWidth="1"/>
    <col min="4" max="4" width="12.5" style="14" customWidth="1"/>
    <col min="5" max="5" width="18.25" style="14" hidden="1" customWidth="1"/>
    <col min="6" max="6" width="0" style="14" hidden="1" customWidth="1"/>
    <col min="7" max="255" width="9.125" style="14"/>
    <col min="256" max="256" width="10.75" style="14" bestFit="1" customWidth="1"/>
    <col min="257" max="257" width="9" style="14" bestFit="1" customWidth="1"/>
    <col min="258" max="258" width="71.25" style="14" bestFit="1" customWidth="1"/>
    <col min="259" max="259" width="8.875" style="14" bestFit="1" customWidth="1"/>
    <col min="260" max="260" width="11.875" style="14" bestFit="1" customWidth="1"/>
    <col min="261" max="511" width="9.125" style="14"/>
    <col min="512" max="512" width="10.75" style="14" bestFit="1" customWidth="1"/>
    <col min="513" max="513" width="9" style="14" bestFit="1" customWidth="1"/>
    <col min="514" max="514" width="71.25" style="14" bestFit="1" customWidth="1"/>
    <col min="515" max="515" width="8.875" style="14" bestFit="1" customWidth="1"/>
    <col min="516" max="516" width="11.875" style="14" bestFit="1" customWidth="1"/>
    <col min="517" max="767" width="9.125" style="14"/>
    <col min="768" max="768" width="10.75" style="14" bestFit="1" customWidth="1"/>
    <col min="769" max="769" width="9" style="14" bestFit="1" customWidth="1"/>
    <col min="770" max="770" width="71.25" style="14" bestFit="1" customWidth="1"/>
    <col min="771" max="771" width="8.875" style="14" bestFit="1" customWidth="1"/>
    <col min="772" max="772" width="11.875" style="14" bestFit="1" customWidth="1"/>
    <col min="773" max="1023" width="9.125" style="14"/>
    <col min="1024" max="1024" width="10.75" style="14" bestFit="1" customWidth="1"/>
    <col min="1025" max="1025" width="9" style="14" bestFit="1" customWidth="1"/>
    <col min="1026" max="1026" width="71.25" style="14" bestFit="1" customWidth="1"/>
    <col min="1027" max="1027" width="8.875" style="14" bestFit="1" customWidth="1"/>
    <col min="1028" max="1028" width="11.875" style="14" bestFit="1" customWidth="1"/>
    <col min="1029" max="1279" width="9.125" style="14"/>
    <col min="1280" max="1280" width="10.75" style="14" bestFit="1" customWidth="1"/>
    <col min="1281" max="1281" width="9" style="14" bestFit="1" customWidth="1"/>
    <col min="1282" max="1282" width="71.25" style="14" bestFit="1" customWidth="1"/>
    <col min="1283" max="1283" width="8.875" style="14" bestFit="1" customWidth="1"/>
    <col min="1284" max="1284" width="11.875" style="14" bestFit="1" customWidth="1"/>
    <col min="1285" max="1535" width="9.125" style="14"/>
    <col min="1536" max="1536" width="10.75" style="14" bestFit="1" customWidth="1"/>
    <col min="1537" max="1537" width="9" style="14" bestFit="1" customWidth="1"/>
    <col min="1538" max="1538" width="71.25" style="14" bestFit="1" customWidth="1"/>
    <col min="1539" max="1539" width="8.875" style="14" bestFit="1" customWidth="1"/>
    <col min="1540" max="1540" width="11.875" style="14" bestFit="1" customWidth="1"/>
    <col min="1541" max="1791" width="9.125" style="14"/>
    <col min="1792" max="1792" width="10.75" style="14" bestFit="1" customWidth="1"/>
    <col min="1793" max="1793" width="9" style="14" bestFit="1" customWidth="1"/>
    <col min="1794" max="1794" width="71.25" style="14" bestFit="1" customWidth="1"/>
    <col min="1795" max="1795" width="8.875" style="14" bestFit="1" customWidth="1"/>
    <col min="1796" max="1796" width="11.875" style="14" bestFit="1" customWidth="1"/>
    <col min="1797" max="2047" width="9.125" style="14"/>
    <col min="2048" max="2048" width="10.75" style="14" bestFit="1" customWidth="1"/>
    <col min="2049" max="2049" width="9" style="14" bestFit="1" customWidth="1"/>
    <col min="2050" max="2050" width="71.25" style="14" bestFit="1" customWidth="1"/>
    <col min="2051" max="2051" width="8.875" style="14" bestFit="1" customWidth="1"/>
    <col min="2052" max="2052" width="11.875" style="14" bestFit="1" customWidth="1"/>
    <col min="2053" max="2303" width="9.125" style="14"/>
    <col min="2304" max="2304" width="10.75" style="14" bestFit="1" customWidth="1"/>
    <col min="2305" max="2305" width="9" style="14" bestFit="1" customWidth="1"/>
    <col min="2306" max="2306" width="71.25" style="14" bestFit="1" customWidth="1"/>
    <col min="2307" max="2307" width="8.875" style="14" bestFit="1" customWidth="1"/>
    <col min="2308" max="2308" width="11.875" style="14" bestFit="1" customWidth="1"/>
    <col min="2309" max="2559" width="9.125" style="14"/>
    <col min="2560" max="2560" width="10.75" style="14" bestFit="1" customWidth="1"/>
    <col min="2561" max="2561" width="9" style="14" bestFit="1" customWidth="1"/>
    <col min="2562" max="2562" width="71.25" style="14" bestFit="1" customWidth="1"/>
    <col min="2563" max="2563" width="8.875" style="14" bestFit="1" customWidth="1"/>
    <col min="2564" max="2564" width="11.875" style="14" bestFit="1" customWidth="1"/>
    <col min="2565" max="2815" width="9.125" style="14"/>
    <col min="2816" max="2816" width="10.75" style="14" bestFit="1" customWidth="1"/>
    <col min="2817" max="2817" width="9" style="14" bestFit="1" customWidth="1"/>
    <col min="2818" max="2818" width="71.25" style="14" bestFit="1" customWidth="1"/>
    <col min="2819" max="2819" width="8.875" style="14" bestFit="1" customWidth="1"/>
    <col min="2820" max="2820" width="11.875" style="14" bestFit="1" customWidth="1"/>
    <col min="2821" max="3071" width="9.125" style="14"/>
    <col min="3072" max="3072" width="10.75" style="14" bestFit="1" customWidth="1"/>
    <col min="3073" max="3073" width="9" style="14" bestFit="1" customWidth="1"/>
    <col min="3074" max="3074" width="71.25" style="14" bestFit="1" customWidth="1"/>
    <col min="3075" max="3075" width="8.875" style="14" bestFit="1" customWidth="1"/>
    <col min="3076" max="3076" width="11.875" style="14" bestFit="1" customWidth="1"/>
    <col min="3077" max="3327" width="9.125" style="14"/>
    <col min="3328" max="3328" width="10.75" style="14" bestFit="1" customWidth="1"/>
    <col min="3329" max="3329" width="9" style="14" bestFit="1" customWidth="1"/>
    <col min="3330" max="3330" width="71.25" style="14" bestFit="1" customWidth="1"/>
    <col min="3331" max="3331" width="8.875" style="14" bestFit="1" customWidth="1"/>
    <col min="3332" max="3332" width="11.875" style="14" bestFit="1" customWidth="1"/>
    <col min="3333" max="3583" width="9.125" style="14"/>
    <col min="3584" max="3584" width="10.75" style="14" bestFit="1" customWidth="1"/>
    <col min="3585" max="3585" width="9" style="14" bestFit="1" customWidth="1"/>
    <col min="3586" max="3586" width="71.25" style="14" bestFit="1" customWidth="1"/>
    <col min="3587" max="3587" width="8.875" style="14" bestFit="1" customWidth="1"/>
    <col min="3588" max="3588" width="11.875" style="14" bestFit="1" customWidth="1"/>
    <col min="3589" max="3839" width="9.125" style="14"/>
    <col min="3840" max="3840" width="10.75" style="14" bestFit="1" customWidth="1"/>
    <col min="3841" max="3841" width="9" style="14" bestFit="1" customWidth="1"/>
    <col min="3842" max="3842" width="71.25" style="14" bestFit="1" customWidth="1"/>
    <col min="3843" max="3843" width="8.875" style="14" bestFit="1" customWidth="1"/>
    <col min="3844" max="3844" width="11.875" style="14" bestFit="1" customWidth="1"/>
    <col min="3845" max="4095" width="9.125" style="14"/>
    <col min="4096" max="4096" width="10.75" style="14" bestFit="1" customWidth="1"/>
    <col min="4097" max="4097" width="9" style="14" bestFit="1" customWidth="1"/>
    <col min="4098" max="4098" width="71.25" style="14" bestFit="1" customWidth="1"/>
    <col min="4099" max="4099" width="8.875" style="14" bestFit="1" customWidth="1"/>
    <col min="4100" max="4100" width="11.875" style="14" bestFit="1" customWidth="1"/>
    <col min="4101" max="4351" width="9.125" style="14"/>
    <col min="4352" max="4352" width="10.75" style="14" bestFit="1" customWidth="1"/>
    <col min="4353" max="4353" width="9" style="14" bestFit="1" customWidth="1"/>
    <col min="4354" max="4354" width="71.25" style="14" bestFit="1" customWidth="1"/>
    <col min="4355" max="4355" width="8.875" style="14" bestFit="1" customWidth="1"/>
    <col min="4356" max="4356" width="11.875" style="14" bestFit="1" customWidth="1"/>
    <col min="4357" max="4607" width="9.125" style="14"/>
    <col min="4608" max="4608" width="10.75" style="14" bestFit="1" customWidth="1"/>
    <col min="4609" max="4609" width="9" style="14" bestFit="1" customWidth="1"/>
    <col min="4610" max="4610" width="71.25" style="14" bestFit="1" customWidth="1"/>
    <col min="4611" max="4611" width="8.875" style="14" bestFit="1" customWidth="1"/>
    <col min="4612" max="4612" width="11.875" style="14" bestFit="1" customWidth="1"/>
    <col min="4613" max="4863" width="9.125" style="14"/>
    <col min="4864" max="4864" width="10.75" style="14" bestFit="1" customWidth="1"/>
    <col min="4865" max="4865" width="9" style="14" bestFit="1" customWidth="1"/>
    <col min="4866" max="4866" width="71.25" style="14" bestFit="1" customWidth="1"/>
    <col min="4867" max="4867" width="8.875" style="14" bestFit="1" customWidth="1"/>
    <col min="4868" max="4868" width="11.875" style="14" bestFit="1" customWidth="1"/>
    <col min="4869" max="5119" width="9.125" style="14"/>
    <col min="5120" max="5120" width="10.75" style="14" bestFit="1" customWidth="1"/>
    <col min="5121" max="5121" width="9" style="14" bestFit="1" customWidth="1"/>
    <col min="5122" max="5122" width="71.25" style="14" bestFit="1" customWidth="1"/>
    <col min="5123" max="5123" width="8.875" style="14" bestFit="1" customWidth="1"/>
    <col min="5124" max="5124" width="11.875" style="14" bestFit="1" customWidth="1"/>
    <col min="5125" max="5375" width="9.125" style="14"/>
    <col min="5376" max="5376" width="10.75" style="14" bestFit="1" customWidth="1"/>
    <col min="5377" max="5377" width="9" style="14" bestFit="1" customWidth="1"/>
    <col min="5378" max="5378" width="71.25" style="14" bestFit="1" customWidth="1"/>
    <col min="5379" max="5379" width="8.875" style="14" bestFit="1" customWidth="1"/>
    <col min="5380" max="5380" width="11.875" style="14" bestFit="1" customWidth="1"/>
    <col min="5381" max="5631" width="9.125" style="14"/>
    <col min="5632" max="5632" width="10.75" style="14" bestFit="1" customWidth="1"/>
    <col min="5633" max="5633" width="9" style="14" bestFit="1" customWidth="1"/>
    <col min="5634" max="5634" width="71.25" style="14" bestFit="1" customWidth="1"/>
    <col min="5635" max="5635" width="8.875" style="14" bestFit="1" customWidth="1"/>
    <col min="5636" max="5636" width="11.875" style="14" bestFit="1" customWidth="1"/>
    <col min="5637" max="5887" width="9.125" style="14"/>
    <col min="5888" max="5888" width="10.75" style="14" bestFit="1" customWidth="1"/>
    <col min="5889" max="5889" width="9" style="14" bestFit="1" customWidth="1"/>
    <col min="5890" max="5890" width="71.25" style="14" bestFit="1" customWidth="1"/>
    <col min="5891" max="5891" width="8.875" style="14" bestFit="1" customWidth="1"/>
    <col min="5892" max="5892" width="11.875" style="14" bestFit="1" customWidth="1"/>
    <col min="5893" max="6143" width="9.125" style="14"/>
    <col min="6144" max="6144" width="10.75" style="14" bestFit="1" customWidth="1"/>
    <col min="6145" max="6145" width="9" style="14" bestFit="1" customWidth="1"/>
    <col min="6146" max="6146" width="71.25" style="14" bestFit="1" customWidth="1"/>
    <col min="6147" max="6147" width="8.875" style="14" bestFit="1" customWidth="1"/>
    <col min="6148" max="6148" width="11.875" style="14" bestFit="1" customWidth="1"/>
    <col min="6149" max="6399" width="9.125" style="14"/>
    <col min="6400" max="6400" width="10.75" style="14" bestFit="1" customWidth="1"/>
    <col min="6401" max="6401" width="9" style="14" bestFit="1" customWidth="1"/>
    <col min="6402" max="6402" width="71.25" style="14" bestFit="1" customWidth="1"/>
    <col min="6403" max="6403" width="8.875" style="14" bestFit="1" customWidth="1"/>
    <col min="6404" max="6404" width="11.875" style="14" bestFit="1" customWidth="1"/>
    <col min="6405" max="6655" width="9.125" style="14"/>
    <col min="6656" max="6656" width="10.75" style="14" bestFit="1" customWidth="1"/>
    <col min="6657" max="6657" width="9" style="14" bestFit="1" customWidth="1"/>
    <col min="6658" max="6658" width="71.25" style="14" bestFit="1" customWidth="1"/>
    <col min="6659" max="6659" width="8.875" style="14" bestFit="1" customWidth="1"/>
    <col min="6660" max="6660" width="11.875" style="14" bestFit="1" customWidth="1"/>
    <col min="6661" max="6911" width="9.125" style="14"/>
    <col min="6912" max="6912" width="10.75" style="14" bestFit="1" customWidth="1"/>
    <col min="6913" max="6913" width="9" style="14" bestFit="1" customWidth="1"/>
    <col min="6914" max="6914" width="71.25" style="14" bestFit="1" customWidth="1"/>
    <col min="6915" max="6915" width="8.875" style="14" bestFit="1" customWidth="1"/>
    <col min="6916" max="6916" width="11.875" style="14" bestFit="1" customWidth="1"/>
    <col min="6917" max="7167" width="9.125" style="14"/>
    <col min="7168" max="7168" width="10.75" style="14" bestFit="1" customWidth="1"/>
    <col min="7169" max="7169" width="9" style="14" bestFit="1" customWidth="1"/>
    <col min="7170" max="7170" width="71.25" style="14" bestFit="1" customWidth="1"/>
    <col min="7171" max="7171" width="8.875" style="14" bestFit="1" customWidth="1"/>
    <col min="7172" max="7172" width="11.875" style="14" bestFit="1" customWidth="1"/>
    <col min="7173" max="7423" width="9.125" style="14"/>
    <col min="7424" max="7424" width="10.75" style="14" bestFit="1" customWidth="1"/>
    <col min="7425" max="7425" width="9" style="14" bestFit="1" customWidth="1"/>
    <col min="7426" max="7426" width="71.25" style="14" bestFit="1" customWidth="1"/>
    <col min="7427" max="7427" width="8.875" style="14" bestFit="1" customWidth="1"/>
    <col min="7428" max="7428" width="11.875" style="14" bestFit="1" customWidth="1"/>
    <col min="7429" max="7679" width="9.125" style="14"/>
    <col min="7680" max="7680" width="10.75" style="14" bestFit="1" customWidth="1"/>
    <col min="7681" max="7681" width="9" style="14" bestFit="1" customWidth="1"/>
    <col min="7682" max="7682" width="71.25" style="14" bestFit="1" customWidth="1"/>
    <col min="7683" max="7683" width="8.875" style="14" bestFit="1" customWidth="1"/>
    <col min="7684" max="7684" width="11.875" style="14" bestFit="1" customWidth="1"/>
    <col min="7685" max="7935" width="9.125" style="14"/>
    <col min="7936" max="7936" width="10.75" style="14" bestFit="1" customWidth="1"/>
    <col min="7937" max="7937" width="9" style="14" bestFit="1" customWidth="1"/>
    <col min="7938" max="7938" width="71.25" style="14" bestFit="1" customWidth="1"/>
    <col min="7939" max="7939" width="8.875" style="14" bestFit="1" customWidth="1"/>
    <col min="7940" max="7940" width="11.875" style="14" bestFit="1" customWidth="1"/>
    <col min="7941" max="8191" width="9.125" style="14"/>
    <col min="8192" max="8192" width="10.75" style="14" bestFit="1" customWidth="1"/>
    <col min="8193" max="8193" width="9" style="14" bestFit="1" customWidth="1"/>
    <col min="8194" max="8194" width="71.25" style="14" bestFit="1" customWidth="1"/>
    <col min="8195" max="8195" width="8.875" style="14" bestFit="1" customWidth="1"/>
    <col min="8196" max="8196" width="11.875" style="14" bestFit="1" customWidth="1"/>
    <col min="8197" max="8447" width="9.125" style="14"/>
    <col min="8448" max="8448" width="10.75" style="14" bestFit="1" customWidth="1"/>
    <col min="8449" max="8449" width="9" style="14" bestFit="1" customWidth="1"/>
    <col min="8450" max="8450" width="71.25" style="14" bestFit="1" customWidth="1"/>
    <col min="8451" max="8451" width="8.875" style="14" bestFit="1" customWidth="1"/>
    <col min="8452" max="8452" width="11.875" style="14" bestFit="1" customWidth="1"/>
    <col min="8453" max="8703" width="9.125" style="14"/>
    <col min="8704" max="8704" width="10.75" style="14" bestFit="1" customWidth="1"/>
    <col min="8705" max="8705" width="9" style="14" bestFit="1" customWidth="1"/>
    <col min="8706" max="8706" width="71.25" style="14" bestFit="1" customWidth="1"/>
    <col min="8707" max="8707" width="8.875" style="14" bestFit="1" customWidth="1"/>
    <col min="8708" max="8708" width="11.875" style="14" bestFit="1" customWidth="1"/>
    <col min="8709" max="8959" width="9.125" style="14"/>
    <col min="8960" max="8960" width="10.75" style="14" bestFit="1" customWidth="1"/>
    <col min="8961" max="8961" width="9" style="14" bestFit="1" customWidth="1"/>
    <col min="8962" max="8962" width="71.25" style="14" bestFit="1" customWidth="1"/>
    <col min="8963" max="8963" width="8.875" style="14" bestFit="1" customWidth="1"/>
    <col min="8964" max="8964" width="11.875" style="14" bestFit="1" customWidth="1"/>
    <col min="8965" max="9215" width="9.125" style="14"/>
    <col min="9216" max="9216" width="10.75" style="14" bestFit="1" customWidth="1"/>
    <col min="9217" max="9217" width="9" style="14" bestFit="1" customWidth="1"/>
    <col min="9218" max="9218" width="71.25" style="14" bestFit="1" customWidth="1"/>
    <col min="9219" max="9219" width="8.875" style="14" bestFit="1" customWidth="1"/>
    <col min="9220" max="9220" width="11.875" style="14" bestFit="1" customWidth="1"/>
    <col min="9221" max="9471" width="9.125" style="14"/>
    <col min="9472" max="9472" width="10.75" style="14" bestFit="1" customWidth="1"/>
    <col min="9473" max="9473" width="9" style="14" bestFit="1" customWidth="1"/>
    <col min="9474" max="9474" width="71.25" style="14" bestFit="1" customWidth="1"/>
    <col min="9475" max="9475" width="8.875" style="14" bestFit="1" customWidth="1"/>
    <col min="9476" max="9476" width="11.875" style="14" bestFit="1" customWidth="1"/>
    <col min="9477" max="9727" width="9.125" style="14"/>
    <col min="9728" max="9728" width="10.75" style="14" bestFit="1" customWidth="1"/>
    <col min="9729" max="9729" width="9" style="14" bestFit="1" customWidth="1"/>
    <col min="9730" max="9730" width="71.25" style="14" bestFit="1" customWidth="1"/>
    <col min="9731" max="9731" width="8.875" style="14" bestFit="1" customWidth="1"/>
    <col min="9732" max="9732" width="11.875" style="14" bestFit="1" customWidth="1"/>
    <col min="9733" max="9983" width="9.125" style="14"/>
    <col min="9984" max="9984" width="10.75" style="14" bestFit="1" customWidth="1"/>
    <col min="9985" max="9985" width="9" style="14" bestFit="1" customWidth="1"/>
    <col min="9986" max="9986" width="71.25" style="14" bestFit="1" customWidth="1"/>
    <col min="9987" max="9987" width="8.875" style="14" bestFit="1" customWidth="1"/>
    <col min="9988" max="9988" width="11.875" style="14" bestFit="1" customWidth="1"/>
    <col min="9989" max="10239" width="9.125" style="14"/>
    <col min="10240" max="10240" width="10.75" style="14" bestFit="1" customWidth="1"/>
    <col min="10241" max="10241" width="9" style="14" bestFit="1" customWidth="1"/>
    <col min="10242" max="10242" width="71.25" style="14" bestFit="1" customWidth="1"/>
    <col min="10243" max="10243" width="8.875" style="14" bestFit="1" customWidth="1"/>
    <col min="10244" max="10244" width="11.875" style="14" bestFit="1" customWidth="1"/>
    <col min="10245" max="10495" width="9.125" style="14"/>
    <col min="10496" max="10496" width="10.75" style="14" bestFit="1" customWidth="1"/>
    <col min="10497" max="10497" width="9" style="14" bestFit="1" customWidth="1"/>
    <col min="10498" max="10498" width="71.25" style="14" bestFit="1" customWidth="1"/>
    <col min="10499" max="10499" width="8.875" style="14" bestFit="1" customWidth="1"/>
    <col min="10500" max="10500" width="11.875" style="14" bestFit="1" customWidth="1"/>
    <col min="10501" max="10751" width="9.125" style="14"/>
    <col min="10752" max="10752" width="10.75" style="14" bestFit="1" customWidth="1"/>
    <col min="10753" max="10753" width="9" style="14" bestFit="1" customWidth="1"/>
    <col min="10754" max="10754" width="71.25" style="14" bestFit="1" customWidth="1"/>
    <col min="10755" max="10755" width="8.875" style="14" bestFit="1" customWidth="1"/>
    <col min="10756" max="10756" width="11.875" style="14" bestFit="1" customWidth="1"/>
    <col min="10757" max="11007" width="9.125" style="14"/>
    <col min="11008" max="11008" width="10.75" style="14" bestFit="1" customWidth="1"/>
    <col min="11009" max="11009" width="9" style="14" bestFit="1" customWidth="1"/>
    <col min="11010" max="11010" width="71.25" style="14" bestFit="1" customWidth="1"/>
    <col min="11011" max="11011" width="8.875" style="14" bestFit="1" customWidth="1"/>
    <col min="11012" max="11012" width="11.875" style="14" bestFit="1" customWidth="1"/>
    <col min="11013" max="11263" width="9.125" style="14"/>
    <col min="11264" max="11264" width="10.75" style="14" bestFit="1" customWidth="1"/>
    <col min="11265" max="11265" width="9" style="14" bestFit="1" customWidth="1"/>
    <col min="11266" max="11266" width="71.25" style="14" bestFit="1" customWidth="1"/>
    <col min="11267" max="11267" width="8.875" style="14" bestFit="1" customWidth="1"/>
    <col min="11268" max="11268" width="11.875" style="14" bestFit="1" customWidth="1"/>
    <col min="11269" max="11519" width="9.125" style="14"/>
    <col min="11520" max="11520" width="10.75" style="14" bestFit="1" customWidth="1"/>
    <col min="11521" max="11521" width="9" style="14" bestFit="1" customWidth="1"/>
    <col min="11522" max="11522" width="71.25" style="14" bestFit="1" customWidth="1"/>
    <col min="11523" max="11523" width="8.875" style="14" bestFit="1" customWidth="1"/>
    <col min="11524" max="11524" width="11.875" style="14" bestFit="1" customWidth="1"/>
    <col min="11525" max="11775" width="9.125" style="14"/>
    <col min="11776" max="11776" width="10.75" style="14" bestFit="1" customWidth="1"/>
    <col min="11777" max="11777" width="9" style="14" bestFit="1" customWidth="1"/>
    <col min="11778" max="11778" width="71.25" style="14" bestFit="1" customWidth="1"/>
    <col min="11779" max="11779" width="8.875" style="14" bestFit="1" customWidth="1"/>
    <col min="11780" max="11780" width="11.875" style="14" bestFit="1" customWidth="1"/>
    <col min="11781" max="12031" width="9.125" style="14"/>
    <col min="12032" max="12032" width="10.75" style="14" bestFit="1" customWidth="1"/>
    <col min="12033" max="12033" width="9" style="14" bestFit="1" customWidth="1"/>
    <col min="12034" max="12034" width="71.25" style="14" bestFit="1" customWidth="1"/>
    <col min="12035" max="12035" width="8.875" style="14" bestFit="1" customWidth="1"/>
    <col min="12036" max="12036" width="11.875" style="14" bestFit="1" customWidth="1"/>
    <col min="12037" max="12287" width="9.125" style="14"/>
    <col min="12288" max="12288" width="10.75" style="14" bestFit="1" customWidth="1"/>
    <col min="12289" max="12289" width="9" style="14" bestFit="1" customWidth="1"/>
    <col min="12290" max="12290" width="71.25" style="14" bestFit="1" customWidth="1"/>
    <col min="12291" max="12291" width="8.875" style="14" bestFit="1" customWidth="1"/>
    <col min="12292" max="12292" width="11.875" style="14" bestFit="1" customWidth="1"/>
    <col min="12293" max="12543" width="9.125" style="14"/>
    <col min="12544" max="12544" width="10.75" style="14" bestFit="1" customWidth="1"/>
    <col min="12545" max="12545" width="9" style="14" bestFit="1" customWidth="1"/>
    <col min="12546" max="12546" width="71.25" style="14" bestFit="1" customWidth="1"/>
    <col min="12547" max="12547" width="8.875" style="14" bestFit="1" customWidth="1"/>
    <col min="12548" max="12548" width="11.875" style="14" bestFit="1" customWidth="1"/>
    <col min="12549" max="12799" width="9.125" style="14"/>
    <col min="12800" max="12800" width="10.75" style="14" bestFit="1" customWidth="1"/>
    <col min="12801" max="12801" width="9" style="14" bestFit="1" customWidth="1"/>
    <col min="12802" max="12802" width="71.25" style="14" bestFit="1" customWidth="1"/>
    <col min="12803" max="12803" width="8.875" style="14" bestFit="1" customWidth="1"/>
    <col min="12804" max="12804" width="11.875" style="14" bestFit="1" customWidth="1"/>
    <col min="12805" max="13055" width="9.125" style="14"/>
    <col min="13056" max="13056" width="10.75" style="14" bestFit="1" customWidth="1"/>
    <col min="13057" max="13057" width="9" style="14" bestFit="1" customWidth="1"/>
    <col min="13058" max="13058" width="71.25" style="14" bestFit="1" customWidth="1"/>
    <col min="13059" max="13059" width="8.875" style="14" bestFit="1" customWidth="1"/>
    <col min="13060" max="13060" width="11.875" style="14" bestFit="1" customWidth="1"/>
    <col min="13061" max="13311" width="9.125" style="14"/>
    <col min="13312" max="13312" width="10.75" style="14" bestFit="1" customWidth="1"/>
    <col min="13313" max="13313" width="9" style="14" bestFit="1" customWidth="1"/>
    <col min="13314" max="13314" width="71.25" style="14" bestFit="1" customWidth="1"/>
    <col min="13315" max="13315" width="8.875" style="14" bestFit="1" customWidth="1"/>
    <col min="13316" max="13316" width="11.875" style="14" bestFit="1" customWidth="1"/>
    <col min="13317" max="13567" width="9.125" style="14"/>
    <col min="13568" max="13568" width="10.75" style="14" bestFit="1" customWidth="1"/>
    <col min="13569" max="13569" width="9" style="14" bestFit="1" customWidth="1"/>
    <col min="13570" max="13570" width="71.25" style="14" bestFit="1" customWidth="1"/>
    <col min="13571" max="13571" width="8.875" style="14" bestFit="1" customWidth="1"/>
    <col min="13572" max="13572" width="11.875" style="14" bestFit="1" customWidth="1"/>
    <col min="13573" max="13823" width="9.125" style="14"/>
    <col min="13824" max="13824" width="10.75" style="14" bestFit="1" customWidth="1"/>
    <col min="13825" max="13825" width="9" style="14" bestFit="1" customWidth="1"/>
    <col min="13826" max="13826" width="71.25" style="14" bestFit="1" customWidth="1"/>
    <col min="13827" max="13827" width="8.875" style="14" bestFit="1" customWidth="1"/>
    <col min="13828" max="13828" width="11.875" style="14" bestFit="1" customWidth="1"/>
    <col min="13829" max="14079" width="9.125" style="14"/>
    <col min="14080" max="14080" width="10.75" style="14" bestFit="1" customWidth="1"/>
    <col min="14081" max="14081" width="9" style="14" bestFit="1" customWidth="1"/>
    <col min="14082" max="14082" width="71.25" style="14" bestFit="1" customWidth="1"/>
    <col min="14083" max="14083" width="8.875" style="14" bestFit="1" customWidth="1"/>
    <col min="14084" max="14084" width="11.875" style="14" bestFit="1" customWidth="1"/>
    <col min="14085" max="14335" width="9.125" style="14"/>
    <col min="14336" max="14336" width="10.75" style="14" bestFit="1" customWidth="1"/>
    <col min="14337" max="14337" width="9" style="14" bestFit="1" customWidth="1"/>
    <col min="14338" max="14338" width="71.25" style="14" bestFit="1" customWidth="1"/>
    <col min="14339" max="14339" width="8.875" style="14" bestFit="1" customWidth="1"/>
    <col min="14340" max="14340" width="11.875" style="14" bestFit="1" customWidth="1"/>
    <col min="14341" max="14591" width="9.125" style="14"/>
    <col min="14592" max="14592" width="10.75" style="14" bestFit="1" customWidth="1"/>
    <col min="14593" max="14593" width="9" style="14" bestFit="1" customWidth="1"/>
    <col min="14594" max="14594" width="71.25" style="14" bestFit="1" customWidth="1"/>
    <col min="14595" max="14595" width="8.875" style="14" bestFit="1" customWidth="1"/>
    <col min="14596" max="14596" width="11.875" style="14" bestFit="1" customWidth="1"/>
    <col min="14597" max="14847" width="9.125" style="14"/>
    <col min="14848" max="14848" width="10.75" style="14" bestFit="1" customWidth="1"/>
    <col min="14849" max="14849" width="9" style="14" bestFit="1" customWidth="1"/>
    <col min="14850" max="14850" width="71.25" style="14" bestFit="1" customWidth="1"/>
    <col min="14851" max="14851" width="8.875" style="14" bestFit="1" customWidth="1"/>
    <col min="14852" max="14852" width="11.875" style="14" bestFit="1" customWidth="1"/>
    <col min="14853" max="15103" width="9.125" style="14"/>
    <col min="15104" max="15104" width="10.75" style="14" bestFit="1" customWidth="1"/>
    <col min="15105" max="15105" width="9" style="14" bestFit="1" customWidth="1"/>
    <col min="15106" max="15106" width="71.25" style="14" bestFit="1" customWidth="1"/>
    <col min="15107" max="15107" width="8.875" style="14" bestFit="1" customWidth="1"/>
    <col min="15108" max="15108" width="11.875" style="14" bestFit="1" customWidth="1"/>
    <col min="15109" max="15359" width="9.125" style="14"/>
    <col min="15360" max="15360" width="10.75" style="14" bestFit="1" customWidth="1"/>
    <col min="15361" max="15361" width="9" style="14" bestFit="1" customWidth="1"/>
    <col min="15362" max="15362" width="71.25" style="14" bestFit="1" customWidth="1"/>
    <col min="15363" max="15363" width="8.875" style="14" bestFit="1" customWidth="1"/>
    <col min="15364" max="15364" width="11.875" style="14" bestFit="1" customWidth="1"/>
    <col min="15365" max="15615" width="9.125" style="14"/>
    <col min="15616" max="15616" width="10.75" style="14" bestFit="1" customWidth="1"/>
    <col min="15617" max="15617" width="9" style="14" bestFit="1" customWidth="1"/>
    <col min="15618" max="15618" width="71.25" style="14" bestFit="1" customWidth="1"/>
    <col min="15619" max="15619" width="8.875" style="14" bestFit="1" customWidth="1"/>
    <col min="15620" max="15620" width="11.875" style="14" bestFit="1" customWidth="1"/>
    <col min="15621" max="15871" width="9.125" style="14"/>
    <col min="15872" max="15872" width="10.75" style="14" bestFit="1" customWidth="1"/>
    <col min="15873" max="15873" width="9" style="14" bestFit="1" customWidth="1"/>
    <col min="15874" max="15874" width="71.25" style="14" bestFit="1" customWidth="1"/>
    <col min="15875" max="15875" width="8.875" style="14" bestFit="1" customWidth="1"/>
    <col min="15876" max="15876" width="11.875" style="14" bestFit="1" customWidth="1"/>
    <col min="15877" max="16127" width="9.125" style="14"/>
    <col min="16128" max="16128" width="10.75" style="14" bestFit="1" customWidth="1"/>
    <col min="16129" max="16129" width="9" style="14" bestFit="1" customWidth="1"/>
    <col min="16130" max="16130" width="71.25" style="14" bestFit="1" customWidth="1"/>
    <col min="16131" max="16131" width="8.875" style="14" bestFit="1" customWidth="1"/>
    <col min="16132" max="16132" width="11.875" style="14" bestFit="1" customWidth="1"/>
    <col min="16133" max="16384" width="9.125" style="14"/>
  </cols>
  <sheetData>
    <row r="1" spans="1:12" s="186" customFormat="1" ht="28.5" customHeight="1" x14ac:dyDescent="0.2">
      <c r="A1" s="209" t="s">
        <v>268</v>
      </c>
      <c r="B1" s="209"/>
      <c r="C1" s="209"/>
      <c r="D1" s="209"/>
      <c r="E1" s="185"/>
      <c r="F1" s="185"/>
      <c r="G1" s="185"/>
      <c r="H1" s="185"/>
      <c r="I1" s="185"/>
      <c r="J1" s="185"/>
      <c r="K1" s="185"/>
      <c r="L1" s="185"/>
    </row>
    <row r="2" spans="1:12" hidden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2" s="17" customFormat="1" x14ac:dyDescent="0.2">
      <c r="A3" s="16" t="s">
        <v>33</v>
      </c>
      <c r="B3" s="17" t="s">
        <v>1</v>
      </c>
      <c r="C3" s="17" t="s">
        <v>2</v>
      </c>
      <c r="D3" s="17" t="s">
        <v>3</v>
      </c>
      <c r="E3" s="17" t="s">
        <v>34</v>
      </c>
      <c r="G3" s="172"/>
    </row>
    <row r="4" spans="1:12" s="17" customFormat="1" ht="15" x14ac:dyDescent="0.25">
      <c r="A4" s="187" t="s">
        <v>266</v>
      </c>
      <c r="B4" s="19" t="s">
        <v>4</v>
      </c>
      <c r="C4" s="20">
        <f>SUM(C5:C6)</f>
        <v>13.04</v>
      </c>
      <c r="D4" s="188" t="s">
        <v>266</v>
      </c>
      <c r="E4" s="21"/>
      <c r="G4" s="174"/>
    </row>
    <row r="5" spans="1:12" s="17" customFormat="1" ht="15" x14ac:dyDescent="0.25">
      <c r="A5" s="22" t="s">
        <v>35</v>
      </c>
      <c r="B5" s="22" t="s">
        <v>5</v>
      </c>
      <c r="C5" s="18">
        <v>0</v>
      </c>
      <c r="D5" s="23">
        <f>C5/$C$30</f>
        <v>0</v>
      </c>
      <c r="E5" s="24">
        <f>C5*1000</f>
        <v>0</v>
      </c>
      <c r="G5" s="172"/>
    </row>
    <row r="6" spans="1:12" s="17" customFormat="1" ht="15" x14ac:dyDescent="0.25">
      <c r="A6" s="22" t="s">
        <v>36</v>
      </c>
      <c r="B6" s="22" t="s">
        <v>6</v>
      </c>
      <c r="C6" s="151">
        <f>'נספח 2- אג"ח'!B10</f>
        <v>13.04</v>
      </c>
      <c r="D6" s="23">
        <f t="shared" ref="D6:D30" si="0">C6/$C$30</f>
        <v>1.8878435005653552E-4</v>
      </c>
      <c r="E6" s="24">
        <f t="shared" ref="E6:E31" si="1">C6*1000</f>
        <v>13040</v>
      </c>
      <c r="G6" s="172"/>
    </row>
    <row r="7" spans="1:12" s="17" customFormat="1" ht="15" x14ac:dyDescent="0.25">
      <c r="A7" s="187" t="s">
        <v>266</v>
      </c>
      <c r="B7" s="19" t="s">
        <v>7</v>
      </c>
      <c r="C7" s="20">
        <f>SUM(C8:C9)</f>
        <v>1.35</v>
      </c>
      <c r="D7" s="188" t="s">
        <v>266</v>
      </c>
      <c r="E7" s="26"/>
      <c r="G7" s="172"/>
    </row>
    <row r="8" spans="1:12" s="17" customFormat="1" ht="15" x14ac:dyDescent="0.25">
      <c r="A8" s="22" t="s">
        <v>37</v>
      </c>
      <c r="B8" s="22" t="s">
        <v>8</v>
      </c>
      <c r="C8" s="18">
        <v>0</v>
      </c>
      <c r="D8" s="23">
        <f t="shared" si="0"/>
        <v>0</v>
      </c>
      <c r="E8" s="24">
        <f t="shared" si="1"/>
        <v>0</v>
      </c>
      <c r="G8" s="172"/>
    </row>
    <row r="9" spans="1:12" s="17" customFormat="1" ht="15" x14ac:dyDescent="0.25">
      <c r="A9" s="22" t="s">
        <v>38</v>
      </c>
      <c r="B9" s="22" t="s">
        <v>9</v>
      </c>
      <c r="C9" s="151">
        <f>'נספח 2- אג"ח'!B20</f>
        <v>1.35</v>
      </c>
      <c r="D9" s="23">
        <f t="shared" si="0"/>
        <v>1.9544392068736422E-5</v>
      </c>
      <c r="E9" s="24">
        <f t="shared" si="1"/>
        <v>1350</v>
      </c>
      <c r="G9" s="174"/>
    </row>
    <row r="10" spans="1:12" s="17" customFormat="1" ht="15" x14ac:dyDescent="0.25">
      <c r="A10" s="187" t="s">
        <v>266</v>
      </c>
      <c r="B10" s="19" t="s">
        <v>10</v>
      </c>
      <c r="C10" s="20">
        <f>SUM(C11:C13)</f>
        <v>0</v>
      </c>
      <c r="D10" s="188" t="s">
        <v>266</v>
      </c>
      <c r="E10" s="26"/>
      <c r="G10" s="172"/>
    </row>
    <row r="11" spans="1:12" s="30" customFormat="1" ht="15" x14ac:dyDescent="0.25">
      <c r="A11" s="27" t="s">
        <v>39</v>
      </c>
      <c r="B11" s="27" t="s">
        <v>11</v>
      </c>
      <c r="C11" s="28">
        <v>0</v>
      </c>
      <c r="D11" s="29">
        <f t="shared" si="0"/>
        <v>0</v>
      </c>
      <c r="E11" s="24">
        <f t="shared" si="1"/>
        <v>0</v>
      </c>
      <c r="G11" s="118"/>
    </row>
    <row r="12" spans="1:12" s="30" customFormat="1" ht="15" x14ac:dyDescent="0.25">
      <c r="A12" s="27" t="s">
        <v>40</v>
      </c>
      <c r="B12" s="27" t="s">
        <v>12</v>
      </c>
      <c r="C12" s="28">
        <v>0</v>
      </c>
      <c r="D12" s="29">
        <f t="shared" si="0"/>
        <v>0</v>
      </c>
      <c r="E12" s="24">
        <f t="shared" si="1"/>
        <v>0</v>
      </c>
      <c r="G12" s="118"/>
    </row>
    <row r="13" spans="1:12" s="30" customFormat="1" ht="15" x14ac:dyDescent="0.25">
      <c r="A13" s="27" t="s">
        <v>41</v>
      </c>
      <c r="B13" s="27" t="s">
        <v>13</v>
      </c>
      <c r="C13" s="28">
        <v>0</v>
      </c>
      <c r="D13" s="29">
        <f t="shared" si="0"/>
        <v>0</v>
      </c>
      <c r="E13" s="24">
        <f t="shared" si="1"/>
        <v>0</v>
      </c>
      <c r="G13" s="118"/>
    </row>
    <row r="14" spans="1:12" s="30" customFormat="1" ht="15" x14ac:dyDescent="0.25">
      <c r="A14" s="187" t="s">
        <v>266</v>
      </c>
      <c r="B14" s="19" t="s">
        <v>14</v>
      </c>
      <c r="C14" s="20">
        <f>SUM(C15:C22)</f>
        <v>0</v>
      </c>
      <c r="D14" s="188" t="s">
        <v>266</v>
      </c>
      <c r="E14" s="26"/>
      <c r="G14" s="118"/>
    </row>
    <row r="15" spans="1:12" s="30" customFormat="1" ht="15" x14ac:dyDescent="0.25">
      <c r="A15" s="27" t="s">
        <v>42</v>
      </c>
      <c r="B15" s="27" t="s">
        <v>15</v>
      </c>
      <c r="C15" s="28">
        <v>0</v>
      </c>
      <c r="D15" s="29">
        <f t="shared" si="0"/>
        <v>0</v>
      </c>
      <c r="E15" s="24">
        <f t="shared" si="1"/>
        <v>0</v>
      </c>
      <c r="G15" s="118"/>
    </row>
    <row r="16" spans="1:12" s="30" customFormat="1" ht="15" x14ac:dyDescent="0.25">
      <c r="A16" s="27" t="s">
        <v>43</v>
      </c>
      <c r="B16" s="27" t="s">
        <v>16</v>
      </c>
      <c r="C16" s="28">
        <v>0</v>
      </c>
      <c r="D16" s="29">
        <f t="shared" si="0"/>
        <v>0</v>
      </c>
      <c r="E16" s="24">
        <f t="shared" si="1"/>
        <v>0</v>
      </c>
      <c r="G16" s="118"/>
    </row>
    <row r="17" spans="1:7" s="30" customFormat="1" ht="15" x14ac:dyDescent="0.25">
      <c r="A17" s="27" t="s">
        <v>44</v>
      </c>
      <c r="B17" s="27" t="s">
        <v>17</v>
      </c>
      <c r="C17" s="28">
        <v>0</v>
      </c>
      <c r="D17" s="29">
        <f t="shared" si="0"/>
        <v>0</v>
      </c>
      <c r="E17" s="24">
        <f t="shared" si="1"/>
        <v>0</v>
      </c>
      <c r="G17" s="118"/>
    </row>
    <row r="18" spans="1:7" s="30" customFormat="1" ht="15" x14ac:dyDescent="0.25">
      <c r="A18" s="27" t="s">
        <v>45</v>
      </c>
      <c r="B18" s="27" t="s">
        <v>18</v>
      </c>
      <c r="C18" s="28">
        <v>0</v>
      </c>
      <c r="D18" s="29">
        <f t="shared" si="0"/>
        <v>0</v>
      </c>
      <c r="E18" s="24">
        <f t="shared" si="1"/>
        <v>0</v>
      </c>
      <c r="G18" s="118"/>
    </row>
    <row r="19" spans="1:7" s="30" customFormat="1" ht="15" x14ac:dyDescent="0.25">
      <c r="A19" s="27" t="s">
        <v>46</v>
      </c>
      <c r="B19" s="27" t="s">
        <v>19</v>
      </c>
      <c r="C19" s="28">
        <v>0</v>
      </c>
      <c r="D19" s="29">
        <f t="shared" si="0"/>
        <v>0</v>
      </c>
      <c r="E19" s="24">
        <f t="shared" si="1"/>
        <v>0</v>
      </c>
      <c r="G19" s="118"/>
    </row>
    <row r="20" spans="1:7" s="30" customFormat="1" ht="15" x14ac:dyDescent="0.25">
      <c r="A20" s="27" t="s">
        <v>47</v>
      </c>
      <c r="B20" s="27" t="s">
        <v>20</v>
      </c>
      <c r="C20" s="28">
        <v>0</v>
      </c>
      <c r="D20" s="29">
        <f t="shared" si="0"/>
        <v>0</v>
      </c>
      <c r="E20" s="24">
        <f t="shared" si="1"/>
        <v>0</v>
      </c>
      <c r="G20" s="118"/>
    </row>
    <row r="21" spans="1:7" s="30" customFormat="1" ht="15" x14ac:dyDescent="0.25">
      <c r="A21" s="27" t="s">
        <v>48</v>
      </c>
      <c r="B21" s="27" t="s">
        <v>21</v>
      </c>
      <c r="C21" s="28">
        <v>0</v>
      </c>
      <c r="D21" s="29">
        <f t="shared" si="0"/>
        <v>0</v>
      </c>
      <c r="E21" s="24">
        <f t="shared" si="1"/>
        <v>0</v>
      </c>
      <c r="G21" s="118"/>
    </row>
    <row r="22" spans="1:7" s="30" customFormat="1" ht="15" x14ac:dyDescent="0.25">
      <c r="A22" s="27" t="s">
        <v>49</v>
      </c>
      <c r="B22" s="27" t="s">
        <v>22</v>
      </c>
      <c r="C22" s="28">
        <v>0</v>
      </c>
      <c r="D22" s="29">
        <f t="shared" si="0"/>
        <v>0</v>
      </c>
      <c r="E22" s="24">
        <f t="shared" si="1"/>
        <v>0</v>
      </c>
      <c r="G22" s="118"/>
    </row>
    <row r="23" spans="1:7" s="30" customFormat="1" ht="15" x14ac:dyDescent="0.25">
      <c r="A23" s="187" t="s">
        <v>266</v>
      </c>
      <c r="B23" s="19" t="s">
        <v>23</v>
      </c>
      <c r="C23" s="20">
        <f>SUM(C24:C25)</f>
        <v>0</v>
      </c>
      <c r="D23" s="179" t="s">
        <v>266</v>
      </c>
      <c r="E23" s="26"/>
      <c r="G23" s="118"/>
    </row>
    <row r="24" spans="1:7" s="30" customFormat="1" ht="15" x14ac:dyDescent="0.25">
      <c r="A24" s="27" t="s">
        <v>50</v>
      </c>
      <c r="B24" s="27" t="s">
        <v>24</v>
      </c>
      <c r="C24" s="28">
        <v>0</v>
      </c>
      <c r="D24" s="29">
        <f t="shared" si="0"/>
        <v>0</v>
      </c>
      <c r="E24" s="24">
        <f t="shared" si="1"/>
        <v>0</v>
      </c>
      <c r="G24" s="118"/>
    </row>
    <row r="25" spans="1:7" s="30" customFormat="1" ht="15" x14ac:dyDescent="0.25">
      <c r="A25" s="27" t="s">
        <v>51</v>
      </c>
      <c r="B25" s="27" t="s">
        <v>25</v>
      </c>
      <c r="C25" s="28">
        <v>0</v>
      </c>
      <c r="D25" s="29">
        <f t="shared" si="0"/>
        <v>0</v>
      </c>
      <c r="E25" s="24">
        <f t="shared" si="1"/>
        <v>0</v>
      </c>
      <c r="G25" s="118"/>
    </row>
    <row r="26" spans="1:7" s="30" customFormat="1" ht="15" x14ac:dyDescent="0.25">
      <c r="A26" s="19" t="s">
        <v>52</v>
      </c>
      <c r="B26" s="19" t="s">
        <v>26</v>
      </c>
      <c r="C26" s="152">
        <f>C4+C7+C10+C14+C23</f>
        <v>14.389999999999999</v>
      </c>
      <c r="D26" s="25">
        <f t="shared" si="0"/>
        <v>2.0832874212527191E-4</v>
      </c>
      <c r="E26" s="26">
        <f t="shared" si="1"/>
        <v>14389.999999999998</v>
      </c>
      <c r="G26" s="118"/>
    </row>
    <row r="27" spans="1:7" s="17" customFormat="1" ht="15" x14ac:dyDescent="0.25">
      <c r="A27" s="187" t="s">
        <v>266</v>
      </c>
      <c r="B27" s="22" t="s">
        <v>27</v>
      </c>
      <c r="C27" s="183" t="s">
        <v>266</v>
      </c>
      <c r="D27" s="183" t="s">
        <v>266</v>
      </c>
      <c r="E27" s="24" t="e">
        <f t="shared" si="1"/>
        <v>#VALUE!</v>
      </c>
      <c r="G27" s="172"/>
    </row>
    <row r="28" spans="1:7" s="17" customFormat="1" ht="19.5" customHeight="1" x14ac:dyDescent="0.25">
      <c r="A28" s="22" t="s">
        <v>53</v>
      </c>
      <c r="B28" s="22" t="s">
        <v>28</v>
      </c>
      <c r="C28" s="23">
        <f>SUM(C11,C15:C22,C25)/C32</f>
        <v>0</v>
      </c>
      <c r="D28" s="23">
        <f t="shared" si="0"/>
        <v>0</v>
      </c>
      <c r="E28" s="23">
        <f>SUM(E11,E15:E22,E25)/E32</f>
        <v>0</v>
      </c>
      <c r="G28" s="172"/>
    </row>
    <row r="29" spans="1:7" s="17" customFormat="1" ht="15" x14ac:dyDescent="0.25">
      <c r="A29" s="22" t="s">
        <v>54</v>
      </c>
      <c r="B29" s="22" t="s">
        <v>29</v>
      </c>
      <c r="C29" s="23">
        <f>C26/C32</f>
        <v>1.9110479554841365E-4</v>
      </c>
      <c r="D29" s="23">
        <f t="shared" si="0"/>
        <v>2.7666867040103047E-9</v>
      </c>
      <c r="E29" s="23">
        <f>E26/E32</f>
        <v>1.9110479554841362E-4</v>
      </c>
      <c r="G29" s="172"/>
    </row>
    <row r="30" spans="1:7" s="17" customFormat="1" ht="18" customHeight="1" x14ac:dyDescent="0.25">
      <c r="A30" s="181" t="s">
        <v>266</v>
      </c>
      <c r="B30" s="22" t="s">
        <v>30</v>
      </c>
      <c r="C30" s="32">
        <f>[1]גיליון1!$F$10/1000</f>
        <v>69073.522228378002</v>
      </c>
      <c r="D30" s="23">
        <f t="shared" si="0"/>
        <v>1</v>
      </c>
      <c r="E30" s="24">
        <f>C30*1000</f>
        <v>69073522.228377998</v>
      </c>
      <c r="F30" s="136" t="s">
        <v>232</v>
      </c>
      <c r="G30" s="172"/>
    </row>
    <row r="31" spans="1:7" ht="15" hidden="1" x14ac:dyDescent="0.25">
      <c r="A31" s="181" t="s">
        <v>266</v>
      </c>
      <c r="B31" s="181" t="s">
        <v>266</v>
      </c>
      <c r="C31" s="35"/>
      <c r="D31" s="36"/>
      <c r="E31" s="37">
        <f t="shared" si="1"/>
        <v>0</v>
      </c>
      <c r="G31" s="173"/>
    </row>
    <row r="32" spans="1:7" s="17" customFormat="1" ht="30" customHeight="1" x14ac:dyDescent="0.25">
      <c r="A32" s="22" t="s">
        <v>55</v>
      </c>
      <c r="B32" s="22" t="s">
        <v>31</v>
      </c>
      <c r="C32" s="32">
        <v>75299</v>
      </c>
      <c r="D32" s="183" t="s">
        <v>266</v>
      </c>
      <c r="E32" s="24">
        <f>C32*1000</f>
        <v>75299000</v>
      </c>
      <c r="G32" s="172"/>
    </row>
    <row r="33" spans="1:7" s="17" customFormat="1" hidden="1" x14ac:dyDescent="0.2">
      <c r="A33" s="183" t="s">
        <v>266</v>
      </c>
      <c r="B33" s="183" t="s">
        <v>266</v>
      </c>
      <c r="D33" s="183"/>
      <c r="G33" s="172"/>
    </row>
    <row r="34" spans="1:7" s="17" customFormat="1" ht="30" customHeight="1" x14ac:dyDescent="0.25">
      <c r="A34" s="22" t="s">
        <v>55</v>
      </c>
      <c r="B34" s="22" t="s">
        <v>32</v>
      </c>
      <c r="C34" s="34">
        <f>AVERAGE(C30:C32)</f>
        <v>72186.261114188994</v>
      </c>
      <c r="D34" s="183" t="s">
        <v>266</v>
      </c>
      <c r="F34" s="136" t="s">
        <v>232</v>
      </c>
    </row>
    <row r="35" spans="1:7" x14ac:dyDescent="0.2">
      <c r="A35" s="208" t="s">
        <v>267</v>
      </c>
      <c r="B35" s="208"/>
      <c r="C35" s="208"/>
      <c r="D35" s="208"/>
    </row>
    <row r="37" spans="1:7" ht="15.75" x14ac:dyDescent="0.25">
      <c r="C37" s="133"/>
    </row>
    <row r="38" spans="1:7" ht="15" x14ac:dyDescent="0.25">
      <c r="C38" s="32"/>
    </row>
    <row r="39" spans="1:7" ht="15" x14ac:dyDescent="0.25">
      <c r="C39" s="32"/>
    </row>
    <row r="41" spans="1:7" x14ac:dyDescent="0.2">
      <c r="C41" s="37"/>
    </row>
  </sheetData>
  <mergeCells count="2">
    <mergeCell ref="A1:D1"/>
    <mergeCell ref="A35:D35"/>
  </mergeCells>
  <dataValidations count="1">
    <dataValidation type="decimal" allowBlank="1" showInputMessage="1" showErrorMessage="1" errorTitle="חייב להיות מספר" error="חייב להיות מספר" sqref="C32" xr:uid="{00000000-0002-0000-0200-000000000000}">
      <formula1>-100000000</formula1>
      <formula2>1000000000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rightToLeft="1" topLeftCell="A13" zoomScale="90" zoomScaleNormal="90" workbookViewId="0">
      <selection activeCell="A36" sqref="A36"/>
    </sheetView>
  </sheetViews>
  <sheetFormatPr defaultColWidth="9.125" defaultRowHeight="14.25" x14ac:dyDescent="0.2"/>
  <cols>
    <col min="1" max="1" width="10.125" style="14" customWidth="1"/>
    <col min="2" max="2" width="132" style="14" bestFit="1" customWidth="1"/>
    <col min="3" max="3" width="13.625" style="14" bestFit="1" customWidth="1"/>
    <col min="4" max="4" width="12.5" style="14" customWidth="1"/>
    <col min="5" max="5" width="15.125" style="14" hidden="1" customWidth="1"/>
    <col min="6" max="255" width="9.125" style="14"/>
    <col min="256" max="256" width="10.75" style="14" bestFit="1" customWidth="1"/>
    <col min="257" max="257" width="9" style="14" bestFit="1" customWidth="1"/>
    <col min="258" max="258" width="71.25" style="14" bestFit="1" customWidth="1"/>
    <col min="259" max="259" width="9.125" style="14"/>
    <col min="260" max="260" width="11.875" style="14" bestFit="1" customWidth="1"/>
    <col min="261" max="511" width="9.125" style="14"/>
    <col min="512" max="512" width="10.75" style="14" bestFit="1" customWidth="1"/>
    <col min="513" max="513" width="9" style="14" bestFit="1" customWidth="1"/>
    <col min="514" max="514" width="71.25" style="14" bestFit="1" customWidth="1"/>
    <col min="515" max="515" width="9.125" style="14"/>
    <col min="516" max="516" width="11.875" style="14" bestFit="1" customWidth="1"/>
    <col min="517" max="767" width="9.125" style="14"/>
    <col min="768" max="768" width="10.75" style="14" bestFit="1" customWidth="1"/>
    <col min="769" max="769" width="9" style="14" bestFit="1" customWidth="1"/>
    <col min="770" max="770" width="71.25" style="14" bestFit="1" customWidth="1"/>
    <col min="771" max="771" width="9.125" style="14"/>
    <col min="772" max="772" width="11.875" style="14" bestFit="1" customWidth="1"/>
    <col min="773" max="1023" width="9.125" style="14"/>
    <col min="1024" max="1024" width="10.75" style="14" bestFit="1" customWidth="1"/>
    <col min="1025" max="1025" width="9" style="14" bestFit="1" customWidth="1"/>
    <col min="1026" max="1026" width="71.25" style="14" bestFit="1" customWidth="1"/>
    <col min="1027" max="1027" width="9.125" style="14"/>
    <col min="1028" max="1028" width="11.875" style="14" bestFit="1" customWidth="1"/>
    <col min="1029" max="1279" width="9.125" style="14"/>
    <col min="1280" max="1280" width="10.75" style="14" bestFit="1" customWidth="1"/>
    <col min="1281" max="1281" width="9" style="14" bestFit="1" customWidth="1"/>
    <col min="1282" max="1282" width="71.25" style="14" bestFit="1" customWidth="1"/>
    <col min="1283" max="1283" width="9.125" style="14"/>
    <col min="1284" max="1284" width="11.875" style="14" bestFit="1" customWidth="1"/>
    <col min="1285" max="1535" width="9.125" style="14"/>
    <col min="1536" max="1536" width="10.75" style="14" bestFit="1" customWidth="1"/>
    <col min="1537" max="1537" width="9" style="14" bestFit="1" customWidth="1"/>
    <col min="1538" max="1538" width="71.25" style="14" bestFit="1" customWidth="1"/>
    <col min="1539" max="1539" width="9.125" style="14"/>
    <col min="1540" max="1540" width="11.875" style="14" bestFit="1" customWidth="1"/>
    <col min="1541" max="1791" width="9.125" style="14"/>
    <col min="1792" max="1792" width="10.75" style="14" bestFit="1" customWidth="1"/>
    <col min="1793" max="1793" width="9" style="14" bestFit="1" customWidth="1"/>
    <col min="1794" max="1794" width="71.25" style="14" bestFit="1" customWidth="1"/>
    <col min="1795" max="1795" width="9.125" style="14"/>
    <col min="1796" max="1796" width="11.875" style="14" bestFit="1" customWidth="1"/>
    <col min="1797" max="2047" width="9.125" style="14"/>
    <col min="2048" max="2048" width="10.75" style="14" bestFit="1" customWidth="1"/>
    <col min="2049" max="2049" width="9" style="14" bestFit="1" customWidth="1"/>
    <col min="2050" max="2050" width="71.25" style="14" bestFit="1" customWidth="1"/>
    <col min="2051" max="2051" width="9.125" style="14"/>
    <col min="2052" max="2052" width="11.875" style="14" bestFit="1" customWidth="1"/>
    <col min="2053" max="2303" width="9.125" style="14"/>
    <col min="2304" max="2304" width="10.75" style="14" bestFit="1" customWidth="1"/>
    <col min="2305" max="2305" width="9" style="14" bestFit="1" customWidth="1"/>
    <col min="2306" max="2306" width="71.25" style="14" bestFit="1" customWidth="1"/>
    <col min="2307" max="2307" width="9.125" style="14"/>
    <col min="2308" max="2308" width="11.875" style="14" bestFit="1" customWidth="1"/>
    <col min="2309" max="2559" width="9.125" style="14"/>
    <col min="2560" max="2560" width="10.75" style="14" bestFit="1" customWidth="1"/>
    <col min="2561" max="2561" width="9" style="14" bestFit="1" customWidth="1"/>
    <col min="2562" max="2562" width="71.25" style="14" bestFit="1" customWidth="1"/>
    <col min="2563" max="2563" width="9.125" style="14"/>
    <col min="2564" max="2564" width="11.875" style="14" bestFit="1" customWidth="1"/>
    <col min="2565" max="2815" width="9.125" style="14"/>
    <col min="2816" max="2816" width="10.75" style="14" bestFit="1" customWidth="1"/>
    <col min="2817" max="2817" width="9" style="14" bestFit="1" customWidth="1"/>
    <col min="2818" max="2818" width="71.25" style="14" bestFit="1" customWidth="1"/>
    <col min="2819" max="2819" width="9.125" style="14"/>
    <col min="2820" max="2820" width="11.875" style="14" bestFit="1" customWidth="1"/>
    <col min="2821" max="3071" width="9.125" style="14"/>
    <col min="3072" max="3072" width="10.75" style="14" bestFit="1" customWidth="1"/>
    <col min="3073" max="3073" width="9" style="14" bestFit="1" customWidth="1"/>
    <col min="3074" max="3074" width="71.25" style="14" bestFit="1" customWidth="1"/>
    <col min="3075" max="3075" width="9.125" style="14"/>
    <col min="3076" max="3076" width="11.875" style="14" bestFit="1" customWidth="1"/>
    <col min="3077" max="3327" width="9.125" style="14"/>
    <col min="3328" max="3328" width="10.75" style="14" bestFit="1" customWidth="1"/>
    <col min="3329" max="3329" width="9" style="14" bestFit="1" customWidth="1"/>
    <col min="3330" max="3330" width="71.25" style="14" bestFit="1" customWidth="1"/>
    <col min="3331" max="3331" width="9.125" style="14"/>
    <col min="3332" max="3332" width="11.875" style="14" bestFit="1" customWidth="1"/>
    <col min="3333" max="3583" width="9.125" style="14"/>
    <col min="3584" max="3584" width="10.75" style="14" bestFit="1" customWidth="1"/>
    <col min="3585" max="3585" width="9" style="14" bestFit="1" customWidth="1"/>
    <col min="3586" max="3586" width="71.25" style="14" bestFit="1" customWidth="1"/>
    <col min="3587" max="3587" width="9.125" style="14"/>
    <col min="3588" max="3588" width="11.875" style="14" bestFit="1" customWidth="1"/>
    <col min="3589" max="3839" width="9.125" style="14"/>
    <col min="3840" max="3840" width="10.75" style="14" bestFit="1" customWidth="1"/>
    <col min="3841" max="3841" width="9" style="14" bestFit="1" customWidth="1"/>
    <col min="3842" max="3842" width="71.25" style="14" bestFit="1" customWidth="1"/>
    <col min="3843" max="3843" width="9.125" style="14"/>
    <col min="3844" max="3844" width="11.875" style="14" bestFit="1" customWidth="1"/>
    <col min="3845" max="4095" width="9.125" style="14"/>
    <col min="4096" max="4096" width="10.75" style="14" bestFit="1" customWidth="1"/>
    <col min="4097" max="4097" width="9" style="14" bestFit="1" customWidth="1"/>
    <col min="4098" max="4098" width="71.25" style="14" bestFit="1" customWidth="1"/>
    <col min="4099" max="4099" width="9.125" style="14"/>
    <col min="4100" max="4100" width="11.875" style="14" bestFit="1" customWidth="1"/>
    <col min="4101" max="4351" width="9.125" style="14"/>
    <col min="4352" max="4352" width="10.75" style="14" bestFit="1" customWidth="1"/>
    <col min="4353" max="4353" width="9" style="14" bestFit="1" customWidth="1"/>
    <col min="4354" max="4354" width="71.25" style="14" bestFit="1" customWidth="1"/>
    <col min="4355" max="4355" width="9.125" style="14"/>
    <col min="4356" max="4356" width="11.875" style="14" bestFit="1" customWidth="1"/>
    <col min="4357" max="4607" width="9.125" style="14"/>
    <col min="4608" max="4608" width="10.75" style="14" bestFit="1" customWidth="1"/>
    <col min="4609" max="4609" width="9" style="14" bestFit="1" customWidth="1"/>
    <col min="4610" max="4610" width="71.25" style="14" bestFit="1" customWidth="1"/>
    <col min="4611" max="4611" width="9.125" style="14"/>
    <col min="4612" max="4612" width="11.875" style="14" bestFit="1" customWidth="1"/>
    <col min="4613" max="4863" width="9.125" style="14"/>
    <col min="4864" max="4864" width="10.75" style="14" bestFit="1" customWidth="1"/>
    <col min="4865" max="4865" width="9" style="14" bestFit="1" customWidth="1"/>
    <col min="4866" max="4866" width="71.25" style="14" bestFit="1" customWidth="1"/>
    <col min="4867" max="4867" width="9.125" style="14"/>
    <col min="4868" max="4868" width="11.875" style="14" bestFit="1" customWidth="1"/>
    <col min="4869" max="5119" width="9.125" style="14"/>
    <col min="5120" max="5120" width="10.75" style="14" bestFit="1" customWidth="1"/>
    <col min="5121" max="5121" width="9" style="14" bestFit="1" customWidth="1"/>
    <col min="5122" max="5122" width="71.25" style="14" bestFit="1" customWidth="1"/>
    <col min="5123" max="5123" width="9.125" style="14"/>
    <col min="5124" max="5124" width="11.875" style="14" bestFit="1" customWidth="1"/>
    <col min="5125" max="5375" width="9.125" style="14"/>
    <col min="5376" max="5376" width="10.75" style="14" bestFit="1" customWidth="1"/>
    <col min="5377" max="5377" width="9" style="14" bestFit="1" customWidth="1"/>
    <col min="5378" max="5378" width="71.25" style="14" bestFit="1" customWidth="1"/>
    <col min="5379" max="5379" width="9.125" style="14"/>
    <col min="5380" max="5380" width="11.875" style="14" bestFit="1" customWidth="1"/>
    <col min="5381" max="5631" width="9.125" style="14"/>
    <col min="5632" max="5632" width="10.75" style="14" bestFit="1" customWidth="1"/>
    <col min="5633" max="5633" width="9" style="14" bestFit="1" customWidth="1"/>
    <col min="5634" max="5634" width="71.25" style="14" bestFit="1" customWidth="1"/>
    <col min="5635" max="5635" width="9.125" style="14"/>
    <col min="5636" max="5636" width="11.875" style="14" bestFit="1" customWidth="1"/>
    <col min="5637" max="5887" width="9.125" style="14"/>
    <col min="5888" max="5888" width="10.75" style="14" bestFit="1" customWidth="1"/>
    <col min="5889" max="5889" width="9" style="14" bestFit="1" customWidth="1"/>
    <col min="5890" max="5890" width="71.25" style="14" bestFit="1" customWidth="1"/>
    <col min="5891" max="5891" width="9.125" style="14"/>
    <col min="5892" max="5892" width="11.875" style="14" bestFit="1" customWidth="1"/>
    <col min="5893" max="6143" width="9.125" style="14"/>
    <col min="6144" max="6144" width="10.75" style="14" bestFit="1" customWidth="1"/>
    <col min="6145" max="6145" width="9" style="14" bestFit="1" customWidth="1"/>
    <col min="6146" max="6146" width="71.25" style="14" bestFit="1" customWidth="1"/>
    <col min="6147" max="6147" width="9.125" style="14"/>
    <col min="6148" max="6148" width="11.875" style="14" bestFit="1" customWidth="1"/>
    <col min="6149" max="6399" width="9.125" style="14"/>
    <col min="6400" max="6400" width="10.75" style="14" bestFit="1" customWidth="1"/>
    <col min="6401" max="6401" width="9" style="14" bestFit="1" customWidth="1"/>
    <col min="6402" max="6402" width="71.25" style="14" bestFit="1" customWidth="1"/>
    <col min="6403" max="6403" width="9.125" style="14"/>
    <col min="6404" max="6404" width="11.875" style="14" bestFit="1" customWidth="1"/>
    <col min="6405" max="6655" width="9.125" style="14"/>
    <col min="6656" max="6656" width="10.75" style="14" bestFit="1" customWidth="1"/>
    <col min="6657" max="6657" width="9" style="14" bestFit="1" customWidth="1"/>
    <col min="6658" max="6658" width="71.25" style="14" bestFit="1" customWidth="1"/>
    <col min="6659" max="6659" width="9.125" style="14"/>
    <col min="6660" max="6660" width="11.875" style="14" bestFit="1" customWidth="1"/>
    <col min="6661" max="6911" width="9.125" style="14"/>
    <col min="6912" max="6912" width="10.75" style="14" bestFit="1" customWidth="1"/>
    <col min="6913" max="6913" width="9" style="14" bestFit="1" customWidth="1"/>
    <col min="6914" max="6914" width="71.25" style="14" bestFit="1" customWidth="1"/>
    <col min="6915" max="6915" width="9.125" style="14"/>
    <col min="6916" max="6916" width="11.875" style="14" bestFit="1" customWidth="1"/>
    <col min="6917" max="7167" width="9.125" style="14"/>
    <col min="7168" max="7168" width="10.75" style="14" bestFit="1" customWidth="1"/>
    <col min="7169" max="7169" width="9" style="14" bestFit="1" customWidth="1"/>
    <col min="7170" max="7170" width="71.25" style="14" bestFit="1" customWidth="1"/>
    <col min="7171" max="7171" width="9.125" style="14"/>
    <col min="7172" max="7172" width="11.875" style="14" bestFit="1" customWidth="1"/>
    <col min="7173" max="7423" width="9.125" style="14"/>
    <col min="7424" max="7424" width="10.75" style="14" bestFit="1" customWidth="1"/>
    <col min="7425" max="7425" width="9" style="14" bestFit="1" customWidth="1"/>
    <col min="7426" max="7426" width="71.25" style="14" bestFit="1" customWidth="1"/>
    <col min="7427" max="7427" width="9.125" style="14"/>
    <col min="7428" max="7428" width="11.875" style="14" bestFit="1" customWidth="1"/>
    <col min="7429" max="7679" width="9.125" style="14"/>
    <col min="7680" max="7680" width="10.75" style="14" bestFit="1" customWidth="1"/>
    <col min="7681" max="7681" width="9" style="14" bestFit="1" customWidth="1"/>
    <col min="7682" max="7682" width="71.25" style="14" bestFit="1" customWidth="1"/>
    <col min="7683" max="7683" width="9.125" style="14"/>
    <col min="7684" max="7684" width="11.875" style="14" bestFit="1" customWidth="1"/>
    <col min="7685" max="7935" width="9.125" style="14"/>
    <col min="7936" max="7936" width="10.75" style="14" bestFit="1" customWidth="1"/>
    <col min="7937" max="7937" width="9" style="14" bestFit="1" customWidth="1"/>
    <col min="7938" max="7938" width="71.25" style="14" bestFit="1" customWidth="1"/>
    <col min="7939" max="7939" width="9.125" style="14"/>
    <col min="7940" max="7940" width="11.875" style="14" bestFit="1" customWidth="1"/>
    <col min="7941" max="8191" width="9.125" style="14"/>
    <col min="8192" max="8192" width="10.75" style="14" bestFit="1" customWidth="1"/>
    <col min="8193" max="8193" width="9" style="14" bestFit="1" customWidth="1"/>
    <col min="8194" max="8194" width="71.25" style="14" bestFit="1" customWidth="1"/>
    <col min="8195" max="8195" width="9.125" style="14"/>
    <col min="8196" max="8196" width="11.875" style="14" bestFit="1" customWidth="1"/>
    <col min="8197" max="8447" width="9.125" style="14"/>
    <col min="8448" max="8448" width="10.75" style="14" bestFit="1" customWidth="1"/>
    <col min="8449" max="8449" width="9" style="14" bestFit="1" customWidth="1"/>
    <col min="8450" max="8450" width="71.25" style="14" bestFit="1" customWidth="1"/>
    <col min="8451" max="8451" width="9.125" style="14"/>
    <col min="8452" max="8452" width="11.875" style="14" bestFit="1" customWidth="1"/>
    <col min="8453" max="8703" width="9.125" style="14"/>
    <col min="8704" max="8704" width="10.75" style="14" bestFit="1" customWidth="1"/>
    <col min="8705" max="8705" width="9" style="14" bestFit="1" customWidth="1"/>
    <col min="8706" max="8706" width="71.25" style="14" bestFit="1" customWidth="1"/>
    <col min="8707" max="8707" width="9.125" style="14"/>
    <col min="8708" max="8708" width="11.875" style="14" bestFit="1" customWidth="1"/>
    <col min="8709" max="8959" width="9.125" style="14"/>
    <col min="8960" max="8960" width="10.75" style="14" bestFit="1" customWidth="1"/>
    <col min="8961" max="8961" width="9" style="14" bestFit="1" customWidth="1"/>
    <col min="8962" max="8962" width="71.25" style="14" bestFit="1" customWidth="1"/>
    <col min="8963" max="8963" width="9.125" style="14"/>
    <col min="8964" max="8964" width="11.875" style="14" bestFit="1" customWidth="1"/>
    <col min="8965" max="9215" width="9.125" style="14"/>
    <col min="9216" max="9216" width="10.75" style="14" bestFit="1" customWidth="1"/>
    <col min="9217" max="9217" width="9" style="14" bestFit="1" customWidth="1"/>
    <col min="9218" max="9218" width="71.25" style="14" bestFit="1" customWidth="1"/>
    <col min="9219" max="9219" width="9.125" style="14"/>
    <col min="9220" max="9220" width="11.875" style="14" bestFit="1" customWidth="1"/>
    <col min="9221" max="9471" width="9.125" style="14"/>
    <col min="9472" max="9472" width="10.75" style="14" bestFit="1" customWidth="1"/>
    <col min="9473" max="9473" width="9" style="14" bestFit="1" customWidth="1"/>
    <col min="9474" max="9474" width="71.25" style="14" bestFit="1" customWidth="1"/>
    <col min="9475" max="9475" width="9.125" style="14"/>
    <col min="9476" max="9476" width="11.875" style="14" bestFit="1" customWidth="1"/>
    <col min="9477" max="9727" width="9.125" style="14"/>
    <col min="9728" max="9728" width="10.75" style="14" bestFit="1" customWidth="1"/>
    <col min="9729" max="9729" width="9" style="14" bestFit="1" customWidth="1"/>
    <col min="9730" max="9730" width="71.25" style="14" bestFit="1" customWidth="1"/>
    <col min="9731" max="9731" width="9.125" style="14"/>
    <col min="9732" max="9732" width="11.875" style="14" bestFit="1" customWidth="1"/>
    <col min="9733" max="9983" width="9.125" style="14"/>
    <col min="9984" max="9984" width="10.75" style="14" bestFit="1" customWidth="1"/>
    <col min="9985" max="9985" width="9" style="14" bestFit="1" customWidth="1"/>
    <col min="9986" max="9986" width="71.25" style="14" bestFit="1" customWidth="1"/>
    <col min="9987" max="9987" width="9.125" style="14"/>
    <col min="9988" max="9988" width="11.875" style="14" bestFit="1" customWidth="1"/>
    <col min="9989" max="10239" width="9.125" style="14"/>
    <col min="10240" max="10240" width="10.75" style="14" bestFit="1" customWidth="1"/>
    <col min="10241" max="10241" width="9" style="14" bestFit="1" customWidth="1"/>
    <col min="10242" max="10242" width="71.25" style="14" bestFit="1" customWidth="1"/>
    <col min="10243" max="10243" width="9.125" style="14"/>
    <col min="10244" max="10244" width="11.875" style="14" bestFit="1" customWidth="1"/>
    <col min="10245" max="10495" width="9.125" style="14"/>
    <col min="10496" max="10496" width="10.75" style="14" bestFit="1" customWidth="1"/>
    <col min="10497" max="10497" width="9" style="14" bestFit="1" customWidth="1"/>
    <col min="10498" max="10498" width="71.25" style="14" bestFit="1" customWidth="1"/>
    <col min="10499" max="10499" width="9.125" style="14"/>
    <col min="10500" max="10500" width="11.875" style="14" bestFit="1" customWidth="1"/>
    <col min="10501" max="10751" width="9.125" style="14"/>
    <col min="10752" max="10752" width="10.75" style="14" bestFit="1" customWidth="1"/>
    <col min="10753" max="10753" width="9" style="14" bestFit="1" customWidth="1"/>
    <col min="10754" max="10754" width="71.25" style="14" bestFit="1" customWidth="1"/>
    <col min="10755" max="10755" width="9.125" style="14"/>
    <col min="10756" max="10756" width="11.875" style="14" bestFit="1" customWidth="1"/>
    <col min="10757" max="11007" width="9.125" style="14"/>
    <col min="11008" max="11008" width="10.75" style="14" bestFit="1" customWidth="1"/>
    <col min="11009" max="11009" width="9" style="14" bestFit="1" customWidth="1"/>
    <col min="11010" max="11010" width="71.25" style="14" bestFit="1" customWidth="1"/>
    <col min="11011" max="11011" width="9.125" style="14"/>
    <col min="11012" max="11012" width="11.875" style="14" bestFit="1" customWidth="1"/>
    <col min="11013" max="11263" width="9.125" style="14"/>
    <col min="11264" max="11264" width="10.75" style="14" bestFit="1" customWidth="1"/>
    <col min="11265" max="11265" width="9" style="14" bestFit="1" customWidth="1"/>
    <col min="11266" max="11266" width="71.25" style="14" bestFit="1" customWidth="1"/>
    <col min="11267" max="11267" width="9.125" style="14"/>
    <col min="11268" max="11268" width="11.875" style="14" bestFit="1" customWidth="1"/>
    <col min="11269" max="11519" width="9.125" style="14"/>
    <col min="11520" max="11520" width="10.75" style="14" bestFit="1" customWidth="1"/>
    <col min="11521" max="11521" width="9" style="14" bestFit="1" customWidth="1"/>
    <col min="11522" max="11522" width="71.25" style="14" bestFit="1" customWidth="1"/>
    <col min="11523" max="11523" width="9.125" style="14"/>
    <col min="11524" max="11524" width="11.875" style="14" bestFit="1" customWidth="1"/>
    <col min="11525" max="11775" width="9.125" style="14"/>
    <col min="11776" max="11776" width="10.75" style="14" bestFit="1" customWidth="1"/>
    <col min="11777" max="11777" width="9" style="14" bestFit="1" customWidth="1"/>
    <col min="11778" max="11778" width="71.25" style="14" bestFit="1" customWidth="1"/>
    <col min="11779" max="11779" width="9.125" style="14"/>
    <col min="11780" max="11780" width="11.875" style="14" bestFit="1" customWidth="1"/>
    <col min="11781" max="12031" width="9.125" style="14"/>
    <col min="12032" max="12032" width="10.75" style="14" bestFit="1" customWidth="1"/>
    <col min="12033" max="12033" width="9" style="14" bestFit="1" customWidth="1"/>
    <col min="12034" max="12034" width="71.25" style="14" bestFit="1" customWidth="1"/>
    <col min="12035" max="12035" width="9.125" style="14"/>
    <col min="12036" max="12036" width="11.875" style="14" bestFit="1" customWidth="1"/>
    <col min="12037" max="12287" width="9.125" style="14"/>
    <col min="12288" max="12288" width="10.75" style="14" bestFit="1" customWidth="1"/>
    <col min="12289" max="12289" width="9" style="14" bestFit="1" customWidth="1"/>
    <col min="12290" max="12290" width="71.25" style="14" bestFit="1" customWidth="1"/>
    <col min="12291" max="12291" width="9.125" style="14"/>
    <col min="12292" max="12292" width="11.875" style="14" bestFit="1" customWidth="1"/>
    <col min="12293" max="12543" width="9.125" style="14"/>
    <col min="12544" max="12544" width="10.75" style="14" bestFit="1" customWidth="1"/>
    <col min="12545" max="12545" width="9" style="14" bestFit="1" customWidth="1"/>
    <col min="12546" max="12546" width="71.25" style="14" bestFit="1" customWidth="1"/>
    <col min="12547" max="12547" width="9.125" style="14"/>
    <col min="12548" max="12548" width="11.875" style="14" bestFit="1" customWidth="1"/>
    <col min="12549" max="12799" width="9.125" style="14"/>
    <col min="12800" max="12800" width="10.75" style="14" bestFit="1" customWidth="1"/>
    <col min="12801" max="12801" width="9" style="14" bestFit="1" customWidth="1"/>
    <col min="12802" max="12802" width="71.25" style="14" bestFit="1" customWidth="1"/>
    <col min="12803" max="12803" width="9.125" style="14"/>
    <col min="12804" max="12804" width="11.875" style="14" bestFit="1" customWidth="1"/>
    <col min="12805" max="13055" width="9.125" style="14"/>
    <col min="13056" max="13056" width="10.75" style="14" bestFit="1" customWidth="1"/>
    <col min="13057" max="13057" width="9" style="14" bestFit="1" customWidth="1"/>
    <col min="13058" max="13058" width="71.25" style="14" bestFit="1" customWidth="1"/>
    <col min="13059" max="13059" width="9.125" style="14"/>
    <col min="13060" max="13060" width="11.875" style="14" bestFit="1" customWidth="1"/>
    <col min="13061" max="13311" width="9.125" style="14"/>
    <col min="13312" max="13312" width="10.75" style="14" bestFit="1" customWidth="1"/>
    <col min="13313" max="13313" width="9" style="14" bestFit="1" customWidth="1"/>
    <col min="13314" max="13314" width="71.25" style="14" bestFit="1" customWidth="1"/>
    <col min="13315" max="13315" width="9.125" style="14"/>
    <col min="13316" max="13316" width="11.875" style="14" bestFit="1" customWidth="1"/>
    <col min="13317" max="13567" width="9.125" style="14"/>
    <col min="13568" max="13568" width="10.75" style="14" bestFit="1" customWidth="1"/>
    <col min="13569" max="13569" width="9" style="14" bestFit="1" customWidth="1"/>
    <col min="13570" max="13570" width="71.25" style="14" bestFit="1" customWidth="1"/>
    <col min="13571" max="13571" width="9.125" style="14"/>
    <col min="13572" max="13572" width="11.875" style="14" bestFit="1" customWidth="1"/>
    <col min="13573" max="13823" width="9.125" style="14"/>
    <col min="13824" max="13824" width="10.75" style="14" bestFit="1" customWidth="1"/>
    <col min="13825" max="13825" width="9" style="14" bestFit="1" customWidth="1"/>
    <col min="13826" max="13826" width="71.25" style="14" bestFit="1" customWidth="1"/>
    <col min="13827" max="13827" width="9.125" style="14"/>
    <col min="13828" max="13828" width="11.875" style="14" bestFit="1" customWidth="1"/>
    <col min="13829" max="14079" width="9.125" style="14"/>
    <col min="14080" max="14080" width="10.75" style="14" bestFit="1" customWidth="1"/>
    <col min="14081" max="14081" width="9" style="14" bestFit="1" customWidth="1"/>
    <col min="14082" max="14082" width="71.25" style="14" bestFit="1" customWidth="1"/>
    <col min="14083" max="14083" width="9.125" style="14"/>
    <col min="14084" max="14084" width="11.875" style="14" bestFit="1" customWidth="1"/>
    <col min="14085" max="14335" width="9.125" style="14"/>
    <col min="14336" max="14336" width="10.75" style="14" bestFit="1" customWidth="1"/>
    <col min="14337" max="14337" width="9" style="14" bestFit="1" customWidth="1"/>
    <col min="14338" max="14338" width="71.25" style="14" bestFit="1" customWidth="1"/>
    <col min="14339" max="14339" width="9.125" style="14"/>
    <col min="14340" max="14340" width="11.875" style="14" bestFit="1" customWidth="1"/>
    <col min="14341" max="14591" width="9.125" style="14"/>
    <col min="14592" max="14592" width="10.75" style="14" bestFit="1" customWidth="1"/>
    <col min="14593" max="14593" width="9" style="14" bestFit="1" customWidth="1"/>
    <col min="14594" max="14594" width="71.25" style="14" bestFit="1" customWidth="1"/>
    <col min="14595" max="14595" width="9.125" style="14"/>
    <col min="14596" max="14596" width="11.875" style="14" bestFit="1" customWidth="1"/>
    <col min="14597" max="14847" width="9.125" style="14"/>
    <col min="14848" max="14848" width="10.75" style="14" bestFit="1" customWidth="1"/>
    <col min="14849" max="14849" width="9" style="14" bestFit="1" customWidth="1"/>
    <col min="14850" max="14850" width="71.25" style="14" bestFit="1" customWidth="1"/>
    <col min="14851" max="14851" width="9.125" style="14"/>
    <col min="14852" max="14852" width="11.875" style="14" bestFit="1" customWidth="1"/>
    <col min="14853" max="15103" width="9.125" style="14"/>
    <col min="15104" max="15104" width="10.75" style="14" bestFit="1" customWidth="1"/>
    <col min="15105" max="15105" width="9" style="14" bestFit="1" customWidth="1"/>
    <col min="15106" max="15106" width="71.25" style="14" bestFit="1" customWidth="1"/>
    <col min="15107" max="15107" width="9.125" style="14"/>
    <col min="15108" max="15108" width="11.875" style="14" bestFit="1" customWidth="1"/>
    <col min="15109" max="15359" width="9.125" style="14"/>
    <col min="15360" max="15360" width="10.75" style="14" bestFit="1" customWidth="1"/>
    <col min="15361" max="15361" width="9" style="14" bestFit="1" customWidth="1"/>
    <col min="15362" max="15362" width="71.25" style="14" bestFit="1" customWidth="1"/>
    <col min="15363" max="15363" width="9.125" style="14"/>
    <col min="15364" max="15364" width="11.875" style="14" bestFit="1" customWidth="1"/>
    <col min="15365" max="15615" width="9.125" style="14"/>
    <col min="15616" max="15616" width="10.75" style="14" bestFit="1" customWidth="1"/>
    <col min="15617" max="15617" width="9" style="14" bestFit="1" customWidth="1"/>
    <col min="15618" max="15618" width="71.25" style="14" bestFit="1" customWidth="1"/>
    <col min="15619" max="15619" width="9.125" style="14"/>
    <col min="15620" max="15620" width="11.875" style="14" bestFit="1" customWidth="1"/>
    <col min="15621" max="15871" width="9.125" style="14"/>
    <col min="15872" max="15872" width="10.75" style="14" bestFit="1" customWidth="1"/>
    <col min="15873" max="15873" width="9" style="14" bestFit="1" customWidth="1"/>
    <col min="15874" max="15874" width="71.25" style="14" bestFit="1" customWidth="1"/>
    <col min="15875" max="15875" width="9.125" style="14"/>
    <col min="15876" max="15876" width="11.875" style="14" bestFit="1" customWidth="1"/>
    <col min="15877" max="16127" width="9.125" style="14"/>
    <col min="16128" max="16128" width="10.75" style="14" bestFit="1" customWidth="1"/>
    <col min="16129" max="16129" width="9" style="14" bestFit="1" customWidth="1"/>
    <col min="16130" max="16130" width="71.25" style="14" bestFit="1" customWidth="1"/>
    <col min="16131" max="16131" width="9.125" style="14"/>
    <col min="16132" max="16132" width="11.875" style="14" bestFit="1" customWidth="1"/>
    <col min="16133" max="16384" width="9.125" style="14"/>
  </cols>
  <sheetData>
    <row r="1" spans="1:12" s="186" customFormat="1" ht="30" customHeight="1" x14ac:dyDescent="0.2">
      <c r="A1" s="209" t="s">
        <v>269</v>
      </c>
      <c r="B1" s="209"/>
      <c r="C1" s="209"/>
      <c r="D1" s="209"/>
      <c r="E1" s="189"/>
      <c r="F1" s="189"/>
      <c r="G1" s="189"/>
      <c r="H1" s="189"/>
      <c r="I1" s="189"/>
      <c r="J1" s="189"/>
      <c r="K1" s="189"/>
      <c r="L1" s="189"/>
    </row>
    <row r="2" spans="1:12" hidden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2" s="17" customFormat="1" x14ac:dyDescent="0.2">
      <c r="A3" s="16" t="s">
        <v>33</v>
      </c>
      <c r="B3" s="17" t="s">
        <v>1</v>
      </c>
      <c r="C3" s="17" t="s">
        <v>2</v>
      </c>
      <c r="D3" s="17" t="s">
        <v>3</v>
      </c>
      <c r="E3" s="17" t="s">
        <v>34</v>
      </c>
      <c r="F3" s="172"/>
    </row>
    <row r="4" spans="1:12" s="17" customFormat="1" ht="15" x14ac:dyDescent="0.25">
      <c r="A4" s="187" t="s">
        <v>266</v>
      </c>
      <c r="B4" s="19" t="s">
        <v>4</v>
      </c>
      <c r="C4" s="20">
        <f>SUM(C5:C6)</f>
        <v>32.369999999999997</v>
      </c>
      <c r="D4" s="188" t="s">
        <v>266</v>
      </c>
      <c r="E4" s="21"/>
      <c r="F4" s="174"/>
    </row>
    <row r="5" spans="1:12" s="17" customFormat="1" ht="15" x14ac:dyDescent="0.25">
      <c r="A5" s="22" t="s">
        <v>35</v>
      </c>
      <c r="B5" s="22" t="s">
        <v>5</v>
      </c>
      <c r="C5" s="18">
        <v>0</v>
      </c>
      <c r="D5" s="23">
        <f>C5/$C$30</f>
        <v>0</v>
      </c>
      <c r="E5" s="24">
        <f>C5*1000</f>
        <v>0</v>
      </c>
      <c r="F5" s="172"/>
    </row>
    <row r="6" spans="1:12" s="17" customFormat="1" ht="15" x14ac:dyDescent="0.25">
      <c r="A6" s="22" t="s">
        <v>36</v>
      </c>
      <c r="B6" s="22" t="s">
        <v>6</v>
      </c>
      <c r="C6" s="18">
        <f>'נספח 2-מניות'!B10</f>
        <v>32.369999999999997</v>
      </c>
      <c r="D6" s="23">
        <f t="shared" ref="D6:D30" si="0">C6/$C$30</f>
        <v>7.7019048224996915E-4</v>
      </c>
      <c r="E6" s="24">
        <f t="shared" ref="E6:E32" si="1">C6*1000</f>
        <v>32369.999999999996</v>
      </c>
      <c r="F6" s="172"/>
    </row>
    <row r="7" spans="1:12" s="17" customFormat="1" ht="15" x14ac:dyDescent="0.25">
      <c r="A7" s="187" t="s">
        <v>266</v>
      </c>
      <c r="B7" s="19" t="s">
        <v>7</v>
      </c>
      <c r="C7" s="20">
        <f>SUM(C8:C9)</f>
        <v>2.71</v>
      </c>
      <c r="D7" s="188" t="s">
        <v>266</v>
      </c>
      <c r="E7" s="26"/>
      <c r="F7" s="172"/>
    </row>
    <row r="8" spans="1:12" s="17" customFormat="1" ht="15" x14ac:dyDescent="0.25">
      <c r="A8" s="22" t="s">
        <v>37</v>
      </c>
      <c r="B8" s="22" t="s">
        <v>8</v>
      </c>
      <c r="C8" s="18">
        <v>0</v>
      </c>
      <c r="D8" s="23">
        <f t="shared" si="0"/>
        <v>0</v>
      </c>
      <c r="E8" s="24">
        <f t="shared" si="1"/>
        <v>0</v>
      </c>
      <c r="F8" s="172"/>
    </row>
    <row r="9" spans="1:12" s="17" customFormat="1" ht="15" x14ac:dyDescent="0.25">
      <c r="A9" s="22" t="s">
        <v>38</v>
      </c>
      <c r="B9" s="22" t="s">
        <v>9</v>
      </c>
      <c r="C9" s="18">
        <f>'נספח 2-מניות'!B20</f>
        <v>2.71</v>
      </c>
      <c r="D9" s="23">
        <f t="shared" si="0"/>
        <v>6.4479956963157755E-5</v>
      </c>
      <c r="E9" s="24">
        <f t="shared" si="1"/>
        <v>2710</v>
      </c>
      <c r="F9" s="172"/>
    </row>
    <row r="10" spans="1:12" s="17" customFormat="1" ht="15" x14ac:dyDescent="0.25">
      <c r="A10" s="187" t="s">
        <v>266</v>
      </c>
      <c r="B10" s="19" t="s">
        <v>10</v>
      </c>
      <c r="C10" s="20">
        <f>SUM(C11:C13)</f>
        <v>0</v>
      </c>
      <c r="D10" s="188" t="s">
        <v>266</v>
      </c>
      <c r="E10" s="26"/>
      <c r="F10" s="172"/>
    </row>
    <row r="11" spans="1:12" s="30" customFormat="1" ht="15" x14ac:dyDescent="0.25">
      <c r="A11" s="27" t="s">
        <v>39</v>
      </c>
      <c r="B11" s="27" t="s">
        <v>11</v>
      </c>
      <c r="C11" s="28">
        <v>0</v>
      </c>
      <c r="D11" s="29">
        <f t="shared" si="0"/>
        <v>0</v>
      </c>
      <c r="E11" s="24">
        <f t="shared" si="1"/>
        <v>0</v>
      </c>
      <c r="F11" s="118"/>
    </row>
    <row r="12" spans="1:12" s="30" customFormat="1" ht="15" x14ac:dyDescent="0.25">
      <c r="A12" s="27" t="s">
        <v>40</v>
      </c>
      <c r="B12" s="27" t="s">
        <v>12</v>
      </c>
      <c r="C12" s="28">
        <v>0</v>
      </c>
      <c r="D12" s="29">
        <f t="shared" si="0"/>
        <v>0</v>
      </c>
      <c r="E12" s="24">
        <f t="shared" si="1"/>
        <v>0</v>
      </c>
      <c r="F12" s="118"/>
    </row>
    <row r="13" spans="1:12" s="30" customFormat="1" ht="15" x14ac:dyDescent="0.25">
      <c r="A13" s="27" t="s">
        <v>41</v>
      </c>
      <c r="B13" s="27" t="s">
        <v>13</v>
      </c>
      <c r="C13" s="28">
        <v>0</v>
      </c>
      <c r="D13" s="29">
        <f t="shared" si="0"/>
        <v>0</v>
      </c>
      <c r="E13" s="24">
        <f t="shared" si="1"/>
        <v>0</v>
      </c>
      <c r="F13" s="118"/>
    </row>
    <row r="14" spans="1:12" s="38" customFormat="1" ht="15" x14ac:dyDescent="0.25">
      <c r="A14" s="187" t="s">
        <v>266</v>
      </c>
      <c r="B14" s="19" t="s">
        <v>14</v>
      </c>
      <c r="C14" s="20">
        <f>SUM(C15:C22)</f>
        <v>43.75</v>
      </c>
      <c r="D14" s="188" t="s">
        <v>266</v>
      </c>
      <c r="E14" s="26"/>
      <c r="F14" s="175"/>
    </row>
    <row r="15" spans="1:12" s="38" customFormat="1" ht="15" x14ac:dyDescent="0.25">
      <c r="A15" s="27" t="s">
        <v>42</v>
      </c>
      <c r="B15" s="27" t="s">
        <v>15</v>
      </c>
      <c r="C15" s="28">
        <f>'נספח 3 - מניות'!B6</f>
        <v>0</v>
      </c>
      <c r="D15" s="29">
        <f t="shared" si="0"/>
        <v>0</v>
      </c>
      <c r="E15" s="24">
        <f t="shared" si="1"/>
        <v>0</v>
      </c>
      <c r="F15" s="175"/>
    </row>
    <row r="16" spans="1:12" s="38" customFormat="1" ht="15" x14ac:dyDescent="0.25">
      <c r="A16" s="27" t="s">
        <v>43</v>
      </c>
      <c r="B16" s="27" t="s">
        <v>16</v>
      </c>
      <c r="C16" s="28">
        <f>'נספח 3 - מניות'!B9</f>
        <v>0</v>
      </c>
      <c r="D16" s="29">
        <f t="shared" si="0"/>
        <v>0</v>
      </c>
      <c r="E16" s="24">
        <f t="shared" si="1"/>
        <v>0</v>
      </c>
      <c r="F16" s="175"/>
    </row>
    <row r="17" spans="1:6" s="38" customFormat="1" ht="15" x14ac:dyDescent="0.25">
      <c r="A17" s="27" t="s">
        <v>44</v>
      </c>
      <c r="B17" s="27" t="s">
        <v>17</v>
      </c>
      <c r="C17" s="28">
        <f>'נספח 3 - מניות'!B14</f>
        <v>0</v>
      </c>
      <c r="D17" s="29">
        <f t="shared" si="0"/>
        <v>0</v>
      </c>
      <c r="E17" s="24">
        <f t="shared" si="1"/>
        <v>0</v>
      </c>
      <c r="F17" s="175"/>
    </row>
    <row r="18" spans="1:6" s="38" customFormat="1" ht="15" x14ac:dyDescent="0.25">
      <c r="A18" s="27" t="s">
        <v>45</v>
      </c>
      <c r="B18" s="27" t="s">
        <v>18</v>
      </c>
      <c r="C18" s="28">
        <f>'נספח 3 - מניות'!B19</f>
        <v>0</v>
      </c>
      <c r="D18" s="29">
        <f t="shared" si="0"/>
        <v>0</v>
      </c>
      <c r="E18" s="24">
        <f t="shared" si="1"/>
        <v>0</v>
      </c>
      <c r="F18" s="175"/>
    </row>
    <row r="19" spans="1:6" s="38" customFormat="1" ht="15" x14ac:dyDescent="0.25">
      <c r="A19" s="27" t="s">
        <v>46</v>
      </c>
      <c r="B19" s="27" t="s">
        <v>19</v>
      </c>
      <c r="C19" s="28">
        <f>'נספח 3 - מניות'!B35</f>
        <v>3.29</v>
      </c>
      <c r="D19" s="29">
        <f t="shared" si="0"/>
        <v>7.8280095353796693E-5</v>
      </c>
      <c r="E19" s="24">
        <f t="shared" si="1"/>
        <v>3290</v>
      </c>
      <c r="F19" s="175"/>
    </row>
    <row r="20" spans="1:6" s="38" customFormat="1" ht="15" x14ac:dyDescent="0.25">
      <c r="A20" s="27" t="s">
        <v>47</v>
      </c>
      <c r="B20" s="27" t="s">
        <v>20</v>
      </c>
      <c r="C20" s="28">
        <f>'נספח 3 - מניות'!B84-C19</f>
        <v>40.19</v>
      </c>
      <c r="D20" s="29">
        <f t="shared" si="0"/>
        <v>9.5625441710306652E-4</v>
      </c>
      <c r="E20" s="24">
        <f t="shared" si="1"/>
        <v>40190</v>
      </c>
      <c r="F20" s="175"/>
    </row>
    <row r="21" spans="1:6" s="38" customFormat="1" ht="15" x14ac:dyDescent="0.25">
      <c r="A21" s="27" t="s">
        <v>48</v>
      </c>
      <c r="B21" s="27" t="s">
        <v>21</v>
      </c>
      <c r="C21" s="28">
        <f>'נספח 3 - מניות'!B23</f>
        <v>0</v>
      </c>
      <c r="D21" s="29">
        <f t="shared" si="0"/>
        <v>0</v>
      </c>
      <c r="E21" s="24">
        <f t="shared" si="1"/>
        <v>0</v>
      </c>
      <c r="F21" s="175"/>
    </row>
    <row r="22" spans="1:6" s="38" customFormat="1" ht="15" x14ac:dyDescent="0.25">
      <c r="A22" s="27" t="s">
        <v>49</v>
      </c>
      <c r="B22" s="27" t="s">
        <v>22</v>
      </c>
      <c r="C22" s="28">
        <f>'נספח 3 - מניות'!B26</f>
        <v>0.27</v>
      </c>
      <c r="D22" s="29">
        <f t="shared" si="0"/>
        <v>6.4242023542629505E-6</v>
      </c>
      <c r="E22" s="24">
        <f t="shared" si="1"/>
        <v>270</v>
      </c>
      <c r="F22" s="175"/>
    </row>
    <row r="23" spans="1:6" s="38" customFormat="1" ht="15" x14ac:dyDescent="0.25">
      <c r="A23" s="187" t="s">
        <v>266</v>
      </c>
      <c r="B23" s="19" t="s">
        <v>23</v>
      </c>
      <c r="C23" s="20">
        <v>0</v>
      </c>
      <c r="D23" s="188" t="s">
        <v>266</v>
      </c>
      <c r="E23" s="26"/>
      <c r="F23" s="175"/>
    </row>
    <row r="24" spans="1:6" s="38" customFormat="1" ht="15" x14ac:dyDescent="0.25">
      <c r="A24" s="27" t="s">
        <v>50</v>
      </c>
      <c r="B24" s="27" t="s">
        <v>24</v>
      </c>
      <c r="C24" s="28">
        <v>0</v>
      </c>
      <c r="D24" s="29">
        <f t="shared" si="0"/>
        <v>0</v>
      </c>
      <c r="E24" s="24">
        <f t="shared" si="1"/>
        <v>0</v>
      </c>
      <c r="F24" s="175"/>
    </row>
    <row r="25" spans="1:6" s="38" customFormat="1" ht="15" x14ac:dyDescent="0.25">
      <c r="A25" s="27" t="s">
        <v>51</v>
      </c>
      <c r="B25" s="27" t="s">
        <v>25</v>
      </c>
      <c r="C25" s="28">
        <v>0</v>
      </c>
      <c r="D25" s="29">
        <f t="shared" si="0"/>
        <v>0</v>
      </c>
      <c r="E25" s="24">
        <f t="shared" si="1"/>
        <v>0</v>
      </c>
      <c r="F25" s="175"/>
    </row>
    <row r="26" spans="1:6" s="38" customFormat="1" ht="15" x14ac:dyDescent="0.25">
      <c r="A26" s="19" t="s">
        <v>52</v>
      </c>
      <c r="B26" s="19" t="s">
        <v>26</v>
      </c>
      <c r="C26" s="31">
        <f>C4+C7+C10+C14+C23</f>
        <v>78.83</v>
      </c>
      <c r="D26" s="25">
        <f t="shared" si="0"/>
        <v>1.8756291540242532E-3</v>
      </c>
      <c r="E26" s="26">
        <f t="shared" si="1"/>
        <v>78830</v>
      </c>
      <c r="F26" s="175"/>
    </row>
    <row r="27" spans="1:6" s="17" customFormat="1" ht="15" x14ac:dyDescent="0.25">
      <c r="A27" s="187" t="s">
        <v>266</v>
      </c>
      <c r="B27" s="22" t="s">
        <v>27</v>
      </c>
      <c r="C27" s="184" t="s">
        <v>266</v>
      </c>
      <c r="D27" s="180" t="s">
        <v>266</v>
      </c>
      <c r="E27" s="24" t="e">
        <f t="shared" si="1"/>
        <v>#VALUE!</v>
      </c>
      <c r="F27" s="172"/>
    </row>
    <row r="28" spans="1:6" s="17" customFormat="1" ht="15" x14ac:dyDescent="0.25">
      <c r="A28" s="22" t="s">
        <v>53</v>
      </c>
      <c r="B28" s="22" t="s">
        <v>28</v>
      </c>
      <c r="C28" s="39">
        <f>SUM(C11,C15:C22,C25)/C32</f>
        <v>1.2986820232723819E-3</v>
      </c>
      <c r="D28" s="23">
        <f t="shared" si="0"/>
        <v>3.0899985597575581E-8</v>
      </c>
      <c r="E28" s="39">
        <f>SUM(E11,E15:E22,E25)/E32</f>
        <v>1.2986820232723819E-3</v>
      </c>
      <c r="F28" s="172"/>
    </row>
    <row r="29" spans="1:6" s="17" customFormat="1" ht="15" x14ac:dyDescent="0.25">
      <c r="A29" s="22" t="s">
        <v>54</v>
      </c>
      <c r="B29" s="22" t="s">
        <v>29</v>
      </c>
      <c r="C29" s="39">
        <f>C26/C32</f>
        <v>2.3400023747328423E-3</v>
      </c>
      <c r="D29" s="23">
        <f t="shared" si="0"/>
        <v>5.5676476906443039E-8</v>
      </c>
      <c r="E29" s="39">
        <f>E26/E32</f>
        <v>2.3400023747328427E-3</v>
      </c>
      <c r="F29" s="172"/>
    </row>
    <row r="30" spans="1:6" s="17" customFormat="1" ht="15" x14ac:dyDescent="0.25">
      <c r="A30" s="181" t="s">
        <v>266</v>
      </c>
      <c r="B30" s="22" t="s">
        <v>30</v>
      </c>
      <c r="C30" s="32">
        <f>[1]גיליון1!$G$10/1000</f>
        <v>42028.5640318964</v>
      </c>
      <c r="D30" s="23">
        <f t="shared" si="0"/>
        <v>1</v>
      </c>
      <c r="E30" s="24">
        <f>C30*1000</f>
        <v>42028564.031896397</v>
      </c>
      <c r="F30" s="172"/>
    </row>
    <row r="31" spans="1:6" s="17" customFormat="1" ht="15.75" hidden="1" customHeight="1" x14ac:dyDescent="0.25">
      <c r="A31" s="181" t="s">
        <v>266</v>
      </c>
      <c r="B31" s="181" t="s">
        <v>266</v>
      </c>
      <c r="C31" s="32"/>
      <c r="D31" s="33"/>
      <c r="E31" s="24">
        <f t="shared" si="1"/>
        <v>0</v>
      </c>
      <c r="F31" s="172"/>
    </row>
    <row r="32" spans="1:6" s="17" customFormat="1" ht="30" customHeight="1" x14ac:dyDescent="0.25">
      <c r="A32" s="22" t="s">
        <v>55</v>
      </c>
      <c r="B32" s="22" t="s">
        <v>31</v>
      </c>
      <c r="C32" s="32">
        <v>33688</v>
      </c>
      <c r="D32" s="183" t="s">
        <v>266</v>
      </c>
      <c r="E32" s="24">
        <f t="shared" si="1"/>
        <v>33688000</v>
      </c>
      <c r="F32" s="172"/>
    </row>
    <row r="33" spans="1:6" s="17" customFormat="1" hidden="1" x14ac:dyDescent="0.2">
      <c r="A33" s="183" t="s">
        <v>266</v>
      </c>
      <c r="B33" s="183" t="s">
        <v>266</v>
      </c>
      <c r="D33" s="183"/>
      <c r="F33" s="172"/>
    </row>
    <row r="34" spans="1:6" s="17" customFormat="1" ht="30" customHeight="1" x14ac:dyDescent="0.25">
      <c r="A34" s="22" t="s">
        <v>55</v>
      </c>
      <c r="B34" s="22" t="s">
        <v>32</v>
      </c>
      <c r="C34" s="34">
        <f>AVERAGE(C30:C32)</f>
        <v>37858.2820159482</v>
      </c>
      <c r="D34" s="183" t="s">
        <v>266</v>
      </c>
      <c r="F34" s="172"/>
    </row>
    <row r="35" spans="1:6" s="17" customFormat="1" x14ac:dyDescent="0.2">
      <c r="A35" s="208" t="s">
        <v>267</v>
      </c>
      <c r="B35" s="208"/>
      <c r="C35" s="208"/>
      <c r="D35" s="208"/>
      <c r="F35" s="172"/>
    </row>
    <row r="36" spans="1:6" x14ac:dyDescent="0.2">
      <c r="F36" s="173"/>
    </row>
    <row r="37" spans="1:6" x14ac:dyDescent="0.2">
      <c r="C37" s="131"/>
    </row>
    <row r="40" spans="1:6" x14ac:dyDescent="0.2">
      <c r="B40" s="131"/>
    </row>
  </sheetData>
  <mergeCells count="2">
    <mergeCell ref="A1:D1"/>
    <mergeCell ref="A35:D35"/>
  </mergeCells>
  <dataValidations count="1">
    <dataValidation type="decimal" allowBlank="1" showInputMessage="1" showErrorMessage="1" errorTitle="חייב להיות מספר" error="חייב להיות מספר" sqref="C32" xr:uid="{00000000-0002-0000-0300-000000000000}">
      <formula1>-100000000</formula1>
      <formula2>1000000000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47"/>
  <sheetViews>
    <sheetView rightToLeft="1" topLeftCell="A31" zoomScale="80" zoomScaleNormal="80" workbookViewId="0">
      <selection activeCell="A48" sqref="A48"/>
    </sheetView>
  </sheetViews>
  <sheetFormatPr defaultRowHeight="14.25" x14ac:dyDescent="0.2"/>
  <cols>
    <col min="1" max="1" width="48.375" bestFit="1" customWidth="1"/>
    <col min="2" max="2" width="13.875" bestFit="1" customWidth="1"/>
    <col min="3" max="3" width="12.5" customWidth="1"/>
  </cols>
  <sheetData>
    <row r="1" spans="1:8" ht="15" x14ac:dyDescent="0.25">
      <c r="A1" s="203" t="s">
        <v>56</v>
      </c>
      <c r="B1" s="203"/>
      <c r="C1" s="203"/>
    </row>
    <row r="2" spans="1:8" s="176" customFormat="1" ht="30" customHeight="1" x14ac:dyDescent="0.25">
      <c r="A2" s="204" t="s">
        <v>263</v>
      </c>
      <c r="B2" s="204"/>
      <c r="C2" s="204"/>
    </row>
    <row r="3" spans="1:8" hidden="1" x14ac:dyDescent="0.2"/>
    <row r="4" spans="1:8" x14ac:dyDescent="0.2">
      <c r="A4" t="s">
        <v>1</v>
      </c>
      <c r="B4" t="s">
        <v>2</v>
      </c>
      <c r="C4" t="s">
        <v>3</v>
      </c>
    </row>
    <row r="5" spans="1:8" ht="15" x14ac:dyDescent="0.25">
      <c r="A5" s="40" t="s">
        <v>57</v>
      </c>
      <c r="B5" s="190" t="s">
        <v>266</v>
      </c>
      <c r="C5" s="177" t="s">
        <v>266</v>
      </c>
    </row>
    <row r="6" spans="1:8" ht="15" x14ac:dyDescent="0.25">
      <c r="A6" s="40" t="s">
        <v>58</v>
      </c>
      <c r="B6" s="191" t="s">
        <v>266</v>
      </c>
      <c r="C6" s="177" t="s">
        <v>266</v>
      </c>
    </row>
    <row r="7" spans="1:8" x14ac:dyDescent="0.2">
      <c r="A7" s="42" t="s">
        <v>85</v>
      </c>
      <c r="B7" s="52">
        <v>0</v>
      </c>
      <c r="C7" s="43">
        <f>B7/$B$45</f>
        <v>0</v>
      </c>
    </row>
    <row r="8" spans="1:8" ht="15" x14ac:dyDescent="0.25">
      <c r="A8" s="44" t="s">
        <v>59</v>
      </c>
      <c r="B8" s="45">
        <f>SUM(B7)</f>
        <v>0</v>
      </c>
      <c r="C8" s="4">
        <f>SUM(C7)</f>
        <v>0</v>
      </c>
    </row>
    <row r="9" spans="1:8" ht="15" x14ac:dyDescent="0.25">
      <c r="A9" s="40" t="s">
        <v>60</v>
      </c>
      <c r="B9" s="191" t="s">
        <v>266</v>
      </c>
      <c r="C9" s="192" t="s">
        <v>266</v>
      </c>
    </row>
    <row r="10" spans="1:8" x14ac:dyDescent="0.2">
      <c r="A10" s="46" t="s">
        <v>243</v>
      </c>
      <c r="B10">
        <f>'נספח 2- כללי'!B9</f>
        <v>0.02</v>
      </c>
      <c r="C10" s="43">
        <f t="shared" ref="C10:C15" si="0">B10/$B$45</f>
        <v>6.9971585925016282E-9</v>
      </c>
      <c r="E10" s="47"/>
      <c r="F10" s="48"/>
      <c r="H10" s="42"/>
    </row>
    <row r="11" spans="1:8" x14ac:dyDescent="0.2">
      <c r="A11" s="46" t="s">
        <v>62</v>
      </c>
      <c r="B11">
        <f>'נספח 2- כללי'!B10</f>
        <v>13.219999999999999</v>
      </c>
      <c r="C11" s="43">
        <f t="shared" si="0"/>
        <v>4.6251218296435759E-6</v>
      </c>
      <c r="E11" s="47"/>
      <c r="F11" s="48"/>
      <c r="H11" s="42"/>
    </row>
    <row r="12" spans="1:8" x14ac:dyDescent="0.2">
      <c r="A12" s="46" t="s">
        <v>64</v>
      </c>
      <c r="B12">
        <v>2.12</v>
      </c>
      <c r="C12" s="43">
        <f t="shared" si="0"/>
        <v>7.4169881080517263E-7</v>
      </c>
      <c r="E12" s="47"/>
      <c r="F12" s="48"/>
    </row>
    <row r="13" spans="1:8" x14ac:dyDescent="0.2">
      <c r="A13" s="46" t="s">
        <v>63</v>
      </c>
      <c r="B13">
        <v>2.2999999999999998</v>
      </c>
      <c r="C13" s="43">
        <f t="shared" si="0"/>
        <v>8.0467323813768723E-7</v>
      </c>
      <c r="E13" s="47"/>
      <c r="F13" s="48"/>
    </row>
    <row r="14" spans="1:8" x14ac:dyDescent="0.2">
      <c r="A14" s="46" t="s">
        <v>65</v>
      </c>
      <c r="B14">
        <v>3.48</v>
      </c>
      <c r="C14" s="43">
        <f t="shared" si="0"/>
        <v>1.2175055950952834E-6</v>
      </c>
      <c r="E14" s="47"/>
      <c r="F14" s="48"/>
    </row>
    <row r="15" spans="1:8" x14ac:dyDescent="0.2">
      <c r="A15" s="95" t="s">
        <v>264</v>
      </c>
      <c r="B15" s="48">
        <f>'נספח 2- כללי'!B14+'נספח 2- אג"ח'!B9+'נספח 2-מניות'!B9</f>
        <v>990.14</v>
      </c>
      <c r="C15" s="43">
        <f t="shared" si="0"/>
        <v>3.4640833043897814E-4</v>
      </c>
      <c r="E15" s="47"/>
      <c r="F15" s="48"/>
    </row>
    <row r="16" spans="1:8" ht="15" x14ac:dyDescent="0.25">
      <c r="A16" s="44" t="s">
        <v>66</v>
      </c>
      <c r="B16" s="45">
        <f>SUM(B10:B15)</f>
        <v>1011.28</v>
      </c>
      <c r="C16" s="4">
        <f>SUM(C10:C15)</f>
        <v>3.5380432707125234E-4</v>
      </c>
      <c r="E16" s="47"/>
      <c r="F16" s="48"/>
    </row>
    <row r="17" spans="1:6" ht="15" x14ac:dyDescent="0.25">
      <c r="A17" s="49" t="s">
        <v>67</v>
      </c>
      <c r="B17" s="50">
        <f>B8+B16</f>
        <v>1011.28</v>
      </c>
      <c r="C17" s="51">
        <f>B17/$B$45</f>
        <v>3.5380432707125234E-4</v>
      </c>
      <c r="D17" s="106"/>
      <c r="E17" s="47"/>
      <c r="F17" s="48"/>
    </row>
    <row r="18" spans="1:6" ht="15" x14ac:dyDescent="0.25">
      <c r="A18" s="40" t="s">
        <v>68</v>
      </c>
      <c r="B18" s="191" t="s">
        <v>266</v>
      </c>
      <c r="C18" s="193" t="s">
        <v>266</v>
      </c>
      <c r="E18" s="47"/>
      <c r="F18" s="48"/>
    </row>
    <row r="19" spans="1:6" ht="15" x14ac:dyDescent="0.25">
      <c r="A19" s="40" t="s">
        <v>58</v>
      </c>
      <c r="B19" s="191" t="s">
        <v>266</v>
      </c>
      <c r="C19" s="193" t="s">
        <v>266</v>
      </c>
      <c r="E19" s="47"/>
      <c r="F19" s="48"/>
    </row>
    <row r="20" spans="1:6" x14ac:dyDescent="0.2">
      <c r="A20" s="42" t="s">
        <v>69</v>
      </c>
      <c r="B20" s="52">
        <v>0</v>
      </c>
      <c r="C20" s="43">
        <f>B20/$B$45</f>
        <v>0</v>
      </c>
      <c r="E20" s="47"/>
      <c r="F20" s="48"/>
    </row>
    <row r="21" spans="1:6" x14ac:dyDescent="0.2">
      <c r="A21" s="42" t="s">
        <v>70</v>
      </c>
      <c r="B21" s="52">
        <v>0</v>
      </c>
      <c r="C21" s="43">
        <f>B21/$B$45</f>
        <v>0</v>
      </c>
    </row>
    <row r="22" spans="1:6" x14ac:dyDescent="0.2">
      <c r="A22" s="42" t="s">
        <v>71</v>
      </c>
      <c r="B22" s="52">
        <v>0</v>
      </c>
      <c r="C22" s="43">
        <f>B22/$B$45</f>
        <v>0</v>
      </c>
    </row>
    <row r="23" spans="1:6" ht="15" x14ac:dyDescent="0.25">
      <c r="A23" s="44" t="s">
        <v>59</v>
      </c>
      <c r="B23" s="45">
        <f>SUM(B20:B22)</f>
        <v>0</v>
      </c>
      <c r="C23" s="4">
        <f>B23/$B$45</f>
        <v>0</v>
      </c>
    </row>
    <row r="24" spans="1:6" ht="15" x14ac:dyDescent="0.25">
      <c r="A24" s="40" t="s">
        <v>60</v>
      </c>
      <c r="B24" s="191" t="s">
        <v>266</v>
      </c>
      <c r="C24" s="193" t="s">
        <v>266</v>
      </c>
    </row>
    <row r="25" spans="1:6" x14ac:dyDescent="0.2">
      <c r="A25" s="160" t="s">
        <v>264</v>
      </c>
      <c r="B25" s="52">
        <f>'נספח 2- כללי'!B24+'נספח 2- אג"ח'!B19+'נספח 2-מניות'!B19</f>
        <v>108.50999999999999</v>
      </c>
      <c r="C25" s="43">
        <f>B25/$B$45</f>
        <v>3.7963083943617583E-5</v>
      </c>
    </row>
    <row r="26" spans="1:6" ht="15" x14ac:dyDescent="0.25">
      <c r="A26" s="44" t="s">
        <v>66</v>
      </c>
      <c r="B26" s="45">
        <f>SUM(B25)</f>
        <v>108.50999999999999</v>
      </c>
      <c r="C26" s="4">
        <f>B26/$B$45</f>
        <v>3.7963083943617583E-5</v>
      </c>
    </row>
    <row r="27" spans="1:6" ht="15" x14ac:dyDescent="0.25">
      <c r="A27" s="49" t="s">
        <v>72</v>
      </c>
      <c r="B27" s="50">
        <f>SUM(B23,B26)</f>
        <v>108.50999999999999</v>
      </c>
      <c r="C27" s="51">
        <f>B27/$B$45</f>
        <v>3.7963083943617583E-5</v>
      </c>
    </row>
    <row r="28" spans="1:6" ht="15" x14ac:dyDescent="0.25">
      <c r="A28" s="40" t="s">
        <v>73</v>
      </c>
      <c r="B28" s="191" t="s">
        <v>266</v>
      </c>
      <c r="C28" s="193" t="s">
        <v>266</v>
      </c>
    </row>
    <row r="29" spans="1:6" x14ac:dyDescent="0.2">
      <c r="A29" s="160" t="s">
        <v>264</v>
      </c>
      <c r="B29" s="52">
        <v>0</v>
      </c>
      <c r="C29" s="43">
        <f>B29/$B$45</f>
        <v>0</v>
      </c>
    </row>
    <row r="30" spans="1:6" ht="15" x14ac:dyDescent="0.25">
      <c r="A30" s="44" t="s">
        <v>74</v>
      </c>
      <c r="B30" s="45">
        <f>SUM(B29)</f>
        <v>0</v>
      </c>
      <c r="C30" s="4">
        <f>B30/$B$45</f>
        <v>0</v>
      </c>
    </row>
    <row r="31" spans="1:6" ht="15" x14ac:dyDescent="0.25">
      <c r="A31" s="40" t="s">
        <v>75</v>
      </c>
      <c r="B31" s="191" t="s">
        <v>266</v>
      </c>
      <c r="C31" s="192" t="s">
        <v>266</v>
      </c>
    </row>
    <row r="32" spans="1:6" x14ac:dyDescent="0.2">
      <c r="A32" s="42" t="s">
        <v>76</v>
      </c>
      <c r="B32" s="52">
        <v>0</v>
      </c>
      <c r="C32" s="43">
        <f>B32/$B$45</f>
        <v>0</v>
      </c>
    </row>
    <row r="33" spans="1:3" x14ac:dyDescent="0.2">
      <c r="A33" s="42" t="s">
        <v>77</v>
      </c>
      <c r="B33" s="52">
        <v>0</v>
      </c>
      <c r="C33" s="43">
        <f>B33/$B$45</f>
        <v>0</v>
      </c>
    </row>
    <row r="34" spans="1:3" x14ac:dyDescent="0.2">
      <c r="A34" s="42" t="s">
        <v>71</v>
      </c>
      <c r="B34" s="52">
        <v>0</v>
      </c>
      <c r="C34" s="43">
        <f>B34/$B$45</f>
        <v>0</v>
      </c>
    </row>
    <row r="35" spans="1:3" ht="15" x14ac:dyDescent="0.25">
      <c r="A35" s="44" t="s">
        <v>78</v>
      </c>
      <c r="B35" s="45">
        <v>0</v>
      </c>
      <c r="C35" s="4">
        <f>B35/$B$45</f>
        <v>0</v>
      </c>
    </row>
    <row r="36" spans="1:3" ht="15" x14ac:dyDescent="0.25">
      <c r="A36" s="40" t="s">
        <v>79</v>
      </c>
      <c r="B36" s="191" t="s">
        <v>266</v>
      </c>
      <c r="C36" s="192" t="s">
        <v>266</v>
      </c>
    </row>
    <row r="37" spans="1:3" x14ac:dyDescent="0.2">
      <c r="A37" s="42" t="s">
        <v>76</v>
      </c>
      <c r="B37" s="52">
        <v>0</v>
      </c>
      <c r="C37" s="43">
        <f>B37/$B$45</f>
        <v>0</v>
      </c>
    </row>
    <row r="38" spans="1:3" x14ac:dyDescent="0.2">
      <c r="A38" s="42" t="s">
        <v>71</v>
      </c>
      <c r="B38" s="52">
        <v>0</v>
      </c>
      <c r="C38" s="43">
        <f>B38/$B$45</f>
        <v>0</v>
      </c>
    </row>
    <row r="39" spans="1:3" ht="15" x14ac:dyDescent="0.25">
      <c r="A39" s="44" t="s">
        <v>80</v>
      </c>
      <c r="B39" s="45">
        <v>0</v>
      </c>
      <c r="C39" s="4">
        <f>B39/$B$45</f>
        <v>0</v>
      </c>
    </row>
    <row r="40" spans="1:3" ht="15" x14ac:dyDescent="0.25">
      <c r="A40" s="40" t="s">
        <v>81</v>
      </c>
      <c r="B40" s="191" t="s">
        <v>266</v>
      </c>
      <c r="C40" s="192" t="s">
        <v>266</v>
      </c>
    </row>
    <row r="41" spans="1:3" x14ac:dyDescent="0.2">
      <c r="A41" s="42" t="s">
        <v>76</v>
      </c>
      <c r="B41" s="52">
        <v>0</v>
      </c>
      <c r="C41" s="43">
        <f>B41/$B$45</f>
        <v>0</v>
      </c>
    </row>
    <row r="42" spans="1:3" x14ac:dyDescent="0.2">
      <c r="A42" s="42" t="s">
        <v>71</v>
      </c>
      <c r="B42" s="52">
        <v>0</v>
      </c>
      <c r="C42" s="43">
        <f>B42/$B$45</f>
        <v>0</v>
      </c>
    </row>
    <row r="43" spans="1:3" ht="15" x14ac:dyDescent="0.25">
      <c r="A43" s="44" t="s">
        <v>82</v>
      </c>
      <c r="B43" s="45">
        <v>0</v>
      </c>
      <c r="C43" s="4">
        <f>B43/$B$45</f>
        <v>0</v>
      </c>
    </row>
    <row r="44" spans="1:3" ht="15" x14ac:dyDescent="0.25">
      <c r="A44" s="40" t="s">
        <v>83</v>
      </c>
      <c r="B44" s="41">
        <f>B17+B27+B30+B35+B39+B43</f>
        <v>1119.79</v>
      </c>
      <c r="C44" s="7">
        <f>B44/$B$45</f>
        <v>3.9176741101486993E-4</v>
      </c>
    </row>
    <row r="45" spans="1:3" ht="15" x14ac:dyDescent="0.25">
      <c r="A45" s="40" t="s">
        <v>30</v>
      </c>
      <c r="B45" s="137">
        <f>'נספח 2- כללי'!B44+'נספח 2- אג"ח'!B39+'נספח 2-מניות'!B39</f>
        <v>2858303.0862602741</v>
      </c>
      <c r="C45" s="7">
        <f>B45/$B$45</f>
        <v>1</v>
      </c>
    </row>
    <row r="46" spans="1:3" ht="15" x14ac:dyDescent="0.25">
      <c r="A46" s="210" t="s">
        <v>84</v>
      </c>
      <c r="B46" s="210"/>
      <c r="C46" s="210"/>
    </row>
    <row r="47" spans="1:3" x14ac:dyDescent="0.2">
      <c r="A47" s="206" t="s">
        <v>267</v>
      </c>
      <c r="B47" s="206"/>
      <c r="C47" s="206"/>
    </row>
  </sheetData>
  <mergeCells count="4">
    <mergeCell ref="A1:C1"/>
    <mergeCell ref="A2:C2"/>
    <mergeCell ref="A46:C46"/>
    <mergeCell ref="A47:C4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I52"/>
  <sheetViews>
    <sheetView rightToLeft="1" topLeftCell="A34" zoomScale="80" zoomScaleNormal="80" workbookViewId="0">
      <selection activeCell="A47" sqref="A47"/>
    </sheetView>
  </sheetViews>
  <sheetFormatPr defaultRowHeight="14.25" x14ac:dyDescent="0.2"/>
  <cols>
    <col min="1" max="1" width="55.375" style="54" bestFit="1" customWidth="1"/>
    <col min="2" max="2" width="17.125" style="54" bestFit="1" customWidth="1"/>
    <col min="3" max="3" width="12.5" style="54" customWidth="1"/>
    <col min="4" max="5" width="9" style="54"/>
    <col min="6" max="6" width="9" style="54" customWidth="1"/>
    <col min="7" max="254" width="9" style="54"/>
    <col min="255" max="255" width="10.75" style="54" bestFit="1" customWidth="1"/>
    <col min="256" max="256" width="9" style="54" bestFit="1" customWidth="1"/>
    <col min="257" max="257" width="55.375" style="54" bestFit="1" customWidth="1"/>
    <col min="258" max="258" width="11.75" style="54" bestFit="1" customWidth="1"/>
    <col min="259" max="259" width="11.875" style="54" bestFit="1" customWidth="1"/>
    <col min="260" max="510" width="9" style="54"/>
    <col min="511" max="511" width="10.75" style="54" bestFit="1" customWidth="1"/>
    <col min="512" max="512" width="9" style="54" bestFit="1" customWidth="1"/>
    <col min="513" max="513" width="55.375" style="54" bestFit="1" customWidth="1"/>
    <col min="514" max="514" width="11.75" style="54" bestFit="1" customWidth="1"/>
    <col min="515" max="515" width="11.875" style="54" bestFit="1" customWidth="1"/>
    <col min="516" max="766" width="9" style="54"/>
    <col min="767" max="767" width="10.75" style="54" bestFit="1" customWidth="1"/>
    <col min="768" max="768" width="9" style="54" bestFit="1" customWidth="1"/>
    <col min="769" max="769" width="55.375" style="54" bestFit="1" customWidth="1"/>
    <col min="770" max="770" width="11.75" style="54" bestFit="1" customWidth="1"/>
    <col min="771" max="771" width="11.875" style="54" bestFit="1" customWidth="1"/>
    <col min="772" max="1022" width="9" style="54"/>
    <col min="1023" max="1023" width="10.75" style="54" bestFit="1" customWidth="1"/>
    <col min="1024" max="1024" width="9" style="54" bestFit="1" customWidth="1"/>
    <col min="1025" max="1025" width="55.375" style="54" bestFit="1" customWidth="1"/>
    <col min="1026" max="1026" width="11.75" style="54" bestFit="1" customWidth="1"/>
    <col min="1027" max="1027" width="11.875" style="54" bestFit="1" customWidth="1"/>
    <col min="1028" max="1278" width="9" style="54"/>
    <col min="1279" max="1279" width="10.75" style="54" bestFit="1" customWidth="1"/>
    <col min="1280" max="1280" width="9" style="54" bestFit="1" customWidth="1"/>
    <col min="1281" max="1281" width="55.375" style="54" bestFit="1" customWidth="1"/>
    <col min="1282" max="1282" width="11.75" style="54" bestFit="1" customWidth="1"/>
    <col min="1283" max="1283" width="11.875" style="54" bestFit="1" customWidth="1"/>
    <col min="1284" max="1534" width="9" style="54"/>
    <col min="1535" max="1535" width="10.75" style="54" bestFit="1" customWidth="1"/>
    <col min="1536" max="1536" width="9" style="54" bestFit="1" customWidth="1"/>
    <col min="1537" max="1537" width="55.375" style="54" bestFit="1" customWidth="1"/>
    <col min="1538" max="1538" width="11.75" style="54" bestFit="1" customWidth="1"/>
    <col min="1539" max="1539" width="11.875" style="54" bestFit="1" customWidth="1"/>
    <col min="1540" max="1790" width="9" style="54"/>
    <col min="1791" max="1791" width="10.75" style="54" bestFit="1" customWidth="1"/>
    <col min="1792" max="1792" width="9" style="54" bestFit="1" customWidth="1"/>
    <col min="1793" max="1793" width="55.375" style="54" bestFit="1" customWidth="1"/>
    <col min="1794" max="1794" width="11.75" style="54" bestFit="1" customWidth="1"/>
    <col min="1795" max="1795" width="11.875" style="54" bestFit="1" customWidth="1"/>
    <col min="1796" max="2046" width="9" style="54"/>
    <col min="2047" max="2047" width="10.75" style="54" bestFit="1" customWidth="1"/>
    <col min="2048" max="2048" width="9" style="54" bestFit="1" customWidth="1"/>
    <col min="2049" max="2049" width="55.375" style="54" bestFit="1" customWidth="1"/>
    <col min="2050" max="2050" width="11.75" style="54" bestFit="1" customWidth="1"/>
    <col min="2051" max="2051" width="11.875" style="54" bestFit="1" customWidth="1"/>
    <col min="2052" max="2302" width="9" style="54"/>
    <col min="2303" max="2303" width="10.75" style="54" bestFit="1" customWidth="1"/>
    <col min="2304" max="2304" width="9" style="54" bestFit="1" customWidth="1"/>
    <col min="2305" max="2305" width="55.375" style="54" bestFit="1" customWidth="1"/>
    <col min="2306" max="2306" width="11.75" style="54" bestFit="1" customWidth="1"/>
    <col min="2307" max="2307" width="11.875" style="54" bestFit="1" customWidth="1"/>
    <col min="2308" max="2558" width="9" style="54"/>
    <col min="2559" max="2559" width="10.75" style="54" bestFit="1" customWidth="1"/>
    <col min="2560" max="2560" width="9" style="54" bestFit="1" customWidth="1"/>
    <col min="2561" max="2561" width="55.375" style="54" bestFit="1" customWidth="1"/>
    <col min="2562" max="2562" width="11.75" style="54" bestFit="1" customWidth="1"/>
    <col min="2563" max="2563" width="11.875" style="54" bestFit="1" customWidth="1"/>
    <col min="2564" max="2814" width="9" style="54"/>
    <col min="2815" max="2815" width="10.75" style="54" bestFit="1" customWidth="1"/>
    <col min="2816" max="2816" width="9" style="54" bestFit="1" customWidth="1"/>
    <col min="2817" max="2817" width="55.375" style="54" bestFit="1" customWidth="1"/>
    <col min="2818" max="2818" width="11.75" style="54" bestFit="1" customWidth="1"/>
    <col min="2819" max="2819" width="11.875" style="54" bestFit="1" customWidth="1"/>
    <col min="2820" max="3070" width="9" style="54"/>
    <col min="3071" max="3071" width="10.75" style="54" bestFit="1" customWidth="1"/>
    <col min="3072" max="3072" width="9" style="54" bestFit="1" customWidth="1"/>
    <col min="3073" max="3073" width="55.375" style="54" bestFit="1" customWidth="1"/>
    <col min="3074" max="3074" width="11.75" style="54" bestFit="1" customWidth="1"/>
    <col min="3075" max="3075" width="11.875" style="54" bestFit="1" customWidth="1"/>
    <col min="3076" max="3326" width="9" style="54"/>
    <col min="3327" max="3327" width="10.75" style="54" bestFit="1" customWidth="1"/>
    <col min="3328" max="3328" width="9" style="54" bestFit="1" customWidth="1"/>
    <col min="3329" max="3329" width="55.375" style="54" bestFit="1" customWidth="1"/>
    <col min="3330" max="3330" width="11.75" style="54" bestFit="1" customWidth="1"/>
    <col min="3331" max="3331" width="11.875" style="54" bestFit="1" customWidth="1"/>
    <col min="3332" max="3582" width="9" style="54"/>
    <col min="3583" max="3583" width="10.75" style="54" bestFit="1" customWidth="1"/>
    <col min="3584" max="3584" width="9" style="54" bestFit="1" customWidth="1"/>
    <col min="3585" max="3585" width="55.375" style="54" bestFit="1" customWidth="1"/>
    <col min="3586" max="3586" width="11.75" style="54" bestFit="1" customWidth="1"/>
    <col min="3587" max="3587" width="11.875" style="54" bestFit="1" customWidth="1"/>
    <col min="3588" max="3838" width="9" style="54"/>
    <col min="3839" max="3839" width="10.75" style="54" bestFit="1" customWidth="1"/>
    <col min="3840" max="3840" width="9" style="54" bestFit="1" customWidth="1"/>
    <col min="3841" max="3841" width="55.375" style="54" bestFit="1" customWidth="1"/>
    <col min="3842" max="3842" width="11.75" style="54" bestFit="1" customWidth="1"/>
    <col min="3843" max="3843" width="11.875" style="54" bestFit="1" customWidth="1"/>
    <col min="3844" max="4094" width="9" style="54"/>
    <col min="4095" max="4095" width="10.75" style="54" bestFit="1" customWidth="1"/>
    <col min="4096" max="4096" width="9" style="54" bestFit="1" customWidth="1"/>
    <col min="4097" max="4097" width="55.375" style="54" bestFit="1" customWidth="1"/>
    <col min="4098" max="4098" width="11.75" style="54" bestFit="1" customWidth="1"/>
    <col min="4099" max="4099" width="11.875" style="54" bestFit="1" customWidth="1"/>
    <col min="4100" max="4350" width="9" style="54"/>
    <col min="4351" max="4351" width="10.75" style="54" bestFit="1" customWidth="1"/>
    <col min="4352" max="4352" width="9" style="54" bestFit="1" customWidth="1"/>
    <col min="4353" max="4353" width="55.375" style="54" bestFit="1" customWidth="1"/>
    <col min="4354" max="4354" width="11.75" style="54" bestFit="1" customWidth="1"/>
    <col min="4355" max="4355" width="11.875" style="54" bestFit="1" customWidth="1"/>
    <col min="4356" max="4606" width="9" style="54"/>
    <col min="4607" max="4607" width="10.75" style="54" bestFit="1" customWidth="1"/>
    <col min="4608" max="4608" width="9" style="54" bestFit="1" customWidth="1"/>
    <col min="4609" max="4609" width="55.375" style="54" bestFit="1" customWidth="1"/>
    <col min="4610" max="4610" width="11.75" style="54" bestFit="1" customWidth="1"/>
    <col min="4611" max="4611" width="11.875" style="54" bestFit="1" customWidth="1"/>
    <col min="4612" max="4862" width="9" style="54"/>
    <col min="4863" max="4863" width="10.75" style="54" bestFit="1" customWidth="1"/>
    <col min="4864" max="4864" width="9" style="54" bestFit="1" customWidth="1"/>
    <col min="4865" max="4865" width="55.375" style="54" bestFit="1" customWidth="1"/>
    <col min="4866" max="4866" width="11.75" style="54" bestFit="1" customWidth="1"/>
    <col min="4867" max="4867" width="11.875" style="54" bestFit="1" customWidth="1"/>
    <col min="4868" max="5118" width="9" style="54"/>
    <col min="5119" max="5119" width="10.75" style="54" bestFit="1" customWidth="1"/>
    <col min="5120" max="5120" width="9" style="54" bestFit="1" customWidth="1"/>
    <col min="5121" max="5121" width="55.375" style="54" bestFit="1" customWidth="1"/>
    <col min="5122" max="5122" width="11.75" style="54" bestFit="1" customWidth="1"/>
    <col min="5123" max="5123" width="11.875" style="54" bestFit="1" customWidth="1"/>
    <col min="5124" max="5374" width="9" style="54"/>
    <col min="5375" max="5375" width="10.75" style="54" bestFit="1" customWidth="1"/>
    <col min="5376" max="5376" width="9" style="54" bestFit="1" customWidth="1"/>
    <col min="5377" max="5377" width="55.375" style="54" bestFit="1" customWidth="1"/>
    <col min="5378" max="5378" width="11.75" style="54" bestFit="1" customWidth="1"/>
    <col min="5379" max="5379" width="11.875" style="54" bestFit="1" customWidth="1"/>
    <col min="5380" max="5630" width="9" style="54"/>
    <col min="5631" max="5631" width="10.75" style="54" bestFit="1" customWidth="1"/>
    <col min="5632" max="5632" width="9" style="54" bestFit="1" customWidth="1"/>
    <col min="5633" max="5633" width="55.375" style="54" bestFit="1" customWidth="1"/>
    <col min="5634" max="5634" width="11.75" style="54" bestFit="1" customWidth="1"/>
    <col min="5635" max="5635" width="11.875" style="54" bestFit="1" customWidth="1"/>
    <col min="5636" max="5886" width="9" style="54"/>
    <col min="5887" max="5887" width="10.75" style="54" bestFit="1" customWidth="1"/>
    <col min="5888" max="5888" width="9" style="54" bestFit="1" customWidth="1"/>
    <col min="5889" max="5889" width="55.375" style="54" bestFit="1" customWidth="1"/>
    <col min="5890" max="5890" width="11.75" style="54" bestFit="1" customWidth="1"/>
    <col min="5891" max="5891" width="11.875" style="54" bestFit="1" customWidth="1"/>
    <col min="5892" max="6142" width="9" style="54"/>
    <col min="6143" max="6143" width="10.75" style="54" bestFit="1" customWidth="1"/>
    <col min="6144" max="6144" width="9" style="54" bestFit="1" customWidth="1"/>
    <col min="6145" max="6145" width="55.375" style="54" bestFit="1" customWidth="1"/>
    <col min="6146" max="6146" width="11.75" style="54" bestFit="1" customWidth="1"/>
    <col min="6147" max="6147" width="11.875" style="54" bestFit="1" customWidth="1"/>
    <col min="6148" max="6398" width="9" style="54"/>
    <col min="6399" max="6399" width="10.75" style="54" bestFit="1" customWidth="1"/>
    <col min="6400" max="6400" width="9" style="54" bestFit="1" customWidth="1"/>
    <col min="6401" max="6401" width="55.375" style="54" bestFit="1" customWidth="1"/>
    <col min="6402" max="6402" width="11.75" style="54" bestFit="1" customWidth="1"/>
    <col min="6403" max="6403" width="11.875" style="54" bestFit="1" customWidth="1"/>
    <col min="6404" max="6654" width="9" style="54"/>
    <col min="6655" max="6655" width="10.75" style="54" bestFit="1" customWidth="1"/>
    <col min="6656" max="6656" width="9" style="54" bestFit="1" customWidth="1"/>
    <col min="6657" max="6657" width="55.375" style="54" bestFit="1" customWidth="1"/>
    <col min="6658" max="6658" width="11.75" style="54" bestFit="1" customWidth="1"/>
    <col min="6659" max="6659" width="11.875" style="54" bestFit="1" customWidth="1"/>
    <col min="6660" max="6910" width="9" style="54"/>
    <col min="6911" max="6911" width="10.75" style="54" bestFit="1" customWidth="1"/>
    <col min="6912" max="6912" width="9" style="54" bestFit="1" customWidth="1"/>
    <col min="6913" max="6913" width="55.375" style="54" bestFit="1" customWidth="1"/>
    <col min="6914" max="6914" width="11.75" style="54" bestFit="1" customWidth="1"/>
    <col min="6915" max="6915" width="11.875" style="54" bestFit="1" customWidth="1"/>
    <col min="6916" max="7166" width="9" style="54"/>
    <col min="7167" max="7167" width="10.75" style="54" bestFit="1" customWidth="1"/>
    <col min="7168" max="7168" width="9" style="54" bestFit="1" customWidth="1"/>
    <col min="7169" max="7169" width="55.375" style="54" bestFit="1" customWidth="1"/>
    <col min="7170" max="7170" width="11.75" style="54" bestFit="1" customWidth="1"/>
    <col min="7171" max="7171" width="11.875" style="54" bestFit="1" customWidth="1"/>
    <col min="7172" max="7422" width="9" style="54"/>
    <col min="7423" max="7423" width="10.75" style="54" bestFit="1" customWidth="1"/>
    <col min="7424" max="7424" width="9" style="54" bestFit="1" customWidth="1"/>
    <col min="7425" max="7425" width="55.375" style="54" bestFit="1" customWidth="1"/>
    <col min="7426" max="7426" width="11.75" style="54" bestFit="1" customWidth="1"/>
    <col min="7427" max="7427" width="11.875" style="54" bestFit="1" customWidth="1"/>
    <col min="7428" max="7678" width="9" style="54"/>
    <col min="7679" max="7679" width="10.75" style="54" bestFit="1" customWidth="1"/>
    <col min="7680" max="7680" width="9" style="54" bestFit="1" customWidth="1"/>
    <col min="7681" max="7681" width="55.375" style="54" bestFit="1" customWidth="1"/>
    <col min="7682" max="7682" width="11.75" style="54" bestFit="1" customWidth="1"/>
    <col min="7683" max="7683" width="11.875" style="54" bestFit="1" customWidth="1"/>
    <col min="7684" max="7934" width="9" style="54"/>
    <col min="7935" max="7935" width="10.75" style="54" bestFit="1" customWidth="1"/>
    <col min="7936" max="7936" width="9" style="54" bestFit="1" customWidth="1"/>
    <col min="7937" max="7937" width="55.375" style="54" bestFit="1" customWidth="1"/>
    <col min="7938" max="7938" width="11.75" style="54" bestFit="1" customWidth="1"/>
    <col min="7939" max="7939" width="11.875" style="54" bestFit="1" customWidth="1"/>
    <col min="7940" max="8190" width="9" style="54"/>
    <col min="8191" max="8191" width="10.75" style="54" bestFit="1" customWidth="1"/>
    <col min="8192" max="8192" width="9" style="54" bestFit="1" customWidth="1"/>
    <col min="8193" max="8193" width="55.375" style="54" bestFit="1" customWidth="1"/>
    <col min="8194" max="8194" width="11.75" style="54" bestFit="1" customWidth="1"/>
    <col min="8195" max="8195" width="11.875" style="54" bestFit="1" customWidth="1"/>
    <col min="8196" max="8446" width="9" style="54"/>
    <col min="8447" max="8447" width="10.75" style="54" bestFit="1" customWidth="1"/>
    <col min="8448" max="8448" width="9" style="54" bestFit="1" customWidth="1"/>
    <col min="8449" max="8449" width="55.375" style="54" bestFit="1" customWidth="1"/>
    <col min="8450" max="8450" width="11.75" style="54" bestFit="1" customWidth="1"/>
    <col min="8451" max="8451" width="11.875" style="54" bestFit="1" customWidth="1"/>
    <col min="8452" max="8702" width="9" style="54"/>
    <col min="8703" max="8703" width="10.75" style="54" bestFit="1" customWidth="1"/>
    <col min="8704" max="8704" width="9" style="54" bestFit="1" customWidth="1"/>
    <col min="8705" max="8705" width="55.375" style="54" bestFit="1" customWidth="1"/>
    <col min="8706" max="8706" width="11.75" style="54" bestFit="1" customWidth="1"/>
    <col min="8707" max="8707" width="11.875" style="54" bestFit="1" customWidth="1"/>
    <col min="8708" max="8958" width="9" style="54"/>
    <col min="8959" max="8959" width="10.75" style="54" bestFit="1" customWidth="1"/>
    <col min="8960" max="8960" width="9" style="54" bestFit="1" customWidth="1"/>
    <col min="8961" max="8961" width="55.375" style="54" bestFit="1" customWidth="1"/>
    <col min="8962" max="8962" width="11.75" style="54" bestFit="1" customWidth="1"/>
    <col min="8963" max="8963" width="11.875" style="54" bestFit="1" customWidth="1"/>
    <col min="8964" max="9214" width="9" style="54"/>
    <col min="9215" max="9215" width="10.75" style="54" bestFit="1" customWidth="1"/>
    <col min="9216" max="9216" width="9" style="54" bestFit="1" customWidth="1"/>
    <col min="9217" max="9217" width="55.375" style="54" bestFit="1" customWidth="1"/>
    <col min="9218" max="9218" width="11.75" style="54" bestFit="1" customWidth="1"/>
    <col min="9219" max="9219" width="11.875" style="54" bestFit="1" customWidth="1"/>
    <col min="9220" max="9470" width="9" style="54"/>
    <col min="9471" max="9471" width="10.75" style="54" bestFit="1" customWidth="1"/>
    <col min="9472" max="9472" width="9" style="54" bestFit="1" customWidth="1"/>
    <col min="9473" max="9473" width="55.375" style="54" bestFit="1" customWidth="1"/>
    <col min="9474" max="9474" width="11.75" style="54" bestFit="1" customWidth="1"/>
    <col min="9475" max="9475" width="11.875" style="54" bestFit="1" customWidth="1"/>
    <col min="9476" max="9726" width="9" style="54"/>
    <col min="9727" max="9727" width="10.75" style="54" bestFit="1" customWidth="1"/>
    <col min="9728" max="9728" width="9" style="54" bestFit="1" customWidth="1"/>
    <col min="9729" max="9729" width="55.375" style="54" bestFit="1" customWidth="1"/>
    <col min="9730" max="9730" width="11.75" style="54" bestFit="1" customWidth="1"/>
    <col min="9731" max="9731" width="11.875" style="54" bestFit="1" customWidth="1"/>
    <col min="9732" max="9982" width="9" style="54"/>
    <col min="9983" max="9983" width="10.75" style="54" bestFit="1" customWidth="1"/>
    <col min="9984" max="9984" width="9" style="54" bestFit="1" customWidth="1"/>
    <col min="9985" max="9985" width="55.375" style="54" bestFit="1" customWidth="1"/>
    <col min="9986" max="9986" width="11.75" style="54" bestFit="1" customWidth="1"/>
    <col min="9987" max="9987" width="11.875" style="54" bestFit="1" customWidth="1"/>
    <col min="9988" max="10238" width="9" style="54"/>
    <col min="10239" max="10239" width="10.75" style="54" bestFit="1" customWidth="1"/>
    <col min="10240" max="10240" width="9" style="54" bestFit="1" customWidth="1"/>
    <col min="10241" max="10241" width="55.375" style="54" bestFit="1" customWidth="1"/>
    <col min="10242" max="10242" width="11.75" style="54" bestFit="1" customWidth="1"/>
    <col min="10243" max="10243" width="11.875" style="54" bestFit="1" customWidth="1"/>
    <col min="10244" max="10494" width="9" style="54"/>
    <col min="10495" max="10495" width="10.75" style="54" bestFit="1" customWidth="1"/>
    <col min="10496" max="10496" width="9" style="54" bestFit="1" customWidth="1"/>
    <col min="10497" max="10497" width="55.375" style="54" bestFit="1" customWidth="1"/>
    <col min="10498" max="10498" width="11.75" style="54" bestFit="1" customWidth="1"/>
    <col min="10499" max="10499" width="11.875" style="54" bestFit="1" customWidth="1"/>
    <col min="10500" max="10750" width="9" style="54"/>
    <col min="10751" max="10751" width="10.75" style="54" bestFit="1" customWidth="1"/>
    <col min="10752" max="10752" width="9" style="54" bestFit="1" customWidth="1"/>
    <col min="10753" max="10753" width="55.375" style="54" bestFit="1" customWidth="1"/>
    <col min="10754" max="10754" width="11.75" style="54" bestFit="1" customWidth="1"/>
    <col min="10755" max="10755" width="11.875" style="54" bestFit="1" customWidth="1"/>
    <col min="10756" max="11006" width="9" style="54"/>
    <col min="11007" max="11007" width="10.75" style="54" bestFit="1" customWidth="1"/>
    <col min="11008" max="11008" width="9" style="54" bestFit="1" customWidth="1"/>
    <col min="11009" max="11009" width="55.375" style="54" bestFit="1" customWidth="1"/>
    <col min="11010" max="11010" width="11.75" style="54" bestFit="1" customWidth="1"/>
    <col min="11011" max="11011" width="11.875" style="54" bestFit="1" customWidth="1"/>
    <col min="11012" max="11262" width="9" style="54"/>
    <col min="11263" max="11263" width="10.75" style="54" bestFit="1" customWidth="1"/>
    <col min="11264" max="11264" width="9" style="54" bestFit="1" customWidth="1"/>
    <col min="11265" max="11265" width="55.375" style="54" bestFit="1" customWidth="1"/>
    <col min="11266" max="11266" width="11.75" style="54" bestFit="1" customWidth="1"/>
    <col min="11267" max="11267" width="11.875" style="54" bestFit="1" customWidth="1"/>
    <col min="11268" max="11518" width="9" style="54"/>
    <col min="11519" max="11519" width="10.75" style="54" bestFit="1" customWidth="1"/>
    <col min="11520" max="11520" width="9" style="54" bestFit="1" customWidth="1"/>
    <col min="11521" max="11521" width="55.375" style="54" bestFit="1" customWidth="1"/>
    <col min="11522" max="11522" width="11.75" style="54" bestFit="1" customWidth="1"/>
    <col min="11523" max="11523" width="11.875" style="54" bestFit="1" customWidth="1"/>
    <col min="11524" max="11774" width="9" style="54"/>
    <col min="11775" max="11775" width="10.75" style="54" bestFit="1" customWidth="1"/>
    <col min="11776" max="11776" width="9" style="54" bestFit="1" customWidth="1"/>
    <col min="11777" max="11777" width="55.375" style="54" bestFit="1" customWidth="1"/>
    <col min="11778" max="11778" width="11.75" style="54" bestFit="1" customWidth="1"/>
    <col min="11779" max="11779" width="11.875" style="54" bestFit="1" customWidth="1"/>
    <col min="11780" max="12030" width="9" style="54"/>
    <col min="12031" max="12031" width="10.75" style="54" bestFit="1" customWidth="1"/>
    <col min="12032" max="12032" width="9" style="54" bestFit="1" customWidth="1"/>
    <col min="12033" max="12033" width="55.375" style="54" bestFit="1" customWidth="1"/>
    <col min="12034" max="12034" width="11.75" style="54" bestFit="1" customWidth="1"/>
    <col min="12035" max="12035" width="11.875" style="54" bestFit="1" customWidth="1"/>
    <col min="12036" max="12286" width="9" style="54"/>
    <col min="12287" max="12287" width="10.75" style="54" bestFit="1" customWidth="1"/>
    <col min="12288" max="12288" width="9" style="54" bestFit="1" customWidth="1"/>
    <col min="12289" max="12289" width="55.375" style="54" bestFit="1" customWidth="1"/>
    <col min="12290" max="12290" width="11.75" style="54" bestFit="1" customWidth="1"/>
    <col min="12291" max="12291" width="11.875" style="54" bestFit="1" customWidth="1"/>
    <col min="12292" max="12542" width="9" style="54"/>
    <col min="12543" max="12543" width="10.75" style="54" bestFit="1" customWidth="1"/>
    <col min="12544" max="12544" width="9" style="54" bestFit="1" customWidth="1"/>
    <col min="12545" max="12545" width="55.375" style="54" bestFit="1" customWidth="1"/>
    <col min="12546" max="12546" width="11.75" style="54" bestFit="1" customWidth="1"/>
    <col min="12547" max="12547" width="11.875" style="54" bestFit="1" customWidth="1"/>
    <col min="12548" max="12798" width="9" style="54"/>
    <col min="12799" max="12799" width="10.75" style="54" bestFit="1" customWidth="1"/>
    <col min="12800" max="12800" width="9" style="54" bestFit="1" customWidth="1"/>
    <col min="12801" max="12801" width="55.375" style="54" bestFit="1" customWidth="1"/>
    <col min="12802" max="12802" width="11.75" style="54" bestFit="1" customWidth="1"/>
    <col min="12803" max="12803" width="11.875" style="54" bestFit="1" customWidth="1"/>
    <col min="12804" max="13054" width="9" style="54"/>
    <col min="13055" max="13055" width="10.75" style="54" bestFit="1" customWidth="1"/>
    <col min="13056" max="13056" width="9" style="54" bestFit="1" customWidth="1"/>
    <col min="13057" max="13057" width="55.375" style="54" bestFit="1" customWidth="1"/>
    <col min="13058" max="13058" width="11.75" style="54" bestFit="1" customWidth="1"/>
    <col min="13059" max="13059" width="11.875" style="54" bestFit="1" customWidth="1"/>
    <col min="13060" max="13310" width="9" style="54"/>
    <col min="13311" max="13311" width="10.75" style="54" bestFit="1" customWidth="1"/>
    <col min="13312" max="13312" width="9" style="54" bestFit="1" customWidth="1"/>
    <col min="13313" max="13313" width="55.375" style="54" bestFit="1" customWidth="1"/>
    <col min="13314" max="13314" width="11.75" style="54" bestFit="1" customWidth="1"/>
    <col min="13315" max="13315" width="11.875" style="54" bestFit="1" customWidth="1"/>
    <col min="13316" max="13566" width="9" style="54"/>
    <col min="13567" max="13567" width="10.75" style="54" bestFit="1" customWidth="1"/>
    <col min="13568" max="13568" width="9" style="54" bestFit="1" customWidth="1"/>
    <col min="13569" max="13569" width="55.375" style="54" bestFit="1" customWidth="1"/>
    <col min="13570" max="13570" width="11.75" style="54" bestFit="1" customWidth="1"/>
    <col min="13571" max="13571" width="11.875" style="54" bestFit="1" customWidth="1"/>
    <col min="13572" max="13822" width="9" style="54"/>
    <col min="13823" max="13823" width="10.75" style="54" bestFit="1" customWidth="1"/>
    <col min="13824" max="13824" width="9" style="54" bestFit="1" customWidth="1"/>
    <col min="13825" max="13825" width="55.375" style="54" bestFit="1" customWidth="1"/>
    <col min="13826" max="13826" width="11.75" style="54" bestFit="1" customWidth="1"/>
    <col min="13827" max="13827" width="11.875" style="54" bestFit="1" customWidth="1"/>
    <col min="13828" max="14078" width="9" style="54"/>
    <col min="14079" max="14079" width="10.75" style="54" bestFit="1" customWidth="1"/>
    <col min="14080" max="14080" width="9" style="54" bestFit="1" customWidth="1"/>
    <col min="14081" max="14081" width="55.375" style="54" bestFit="1" customWidth="1"/>
    <col min="14082" max="14082" width="11.75" style="54" bestFit="1" customWidth="1"/>
    <col min="14083" max="14083" width="11.875" style="54" bestFit="1" customWidth="1"/>
    <col min="14084" max="14334" width="9" style="54"/>
    <col min="14335" max="14335" width="10.75" style="54" bestFit="1" customWidth="1"/>
    <col min="14336" max="14336" width="9" style="54" bestFit="1" customWidth="1"/>
    <col min="14337" max="14337" width="55.375" style="54" bestFit="1" customWidth="1"/>
    <col min="14338" max="14338" width="11.75" style="54" bestFit="1" customWidth="1"/>
    <col min="14339" max="14339" width="11.875" style="54" bestFit="1" customWidth="1"/>
    <col min="14340" max="14590" width="9" style="54"/>
    <col min="14591" max="14591" width="10.75" style="54" bestFit="1" customWidth="1"/>
    <col min="14592" max="14592" width="9" style="54" bestFit="1" customWidth="1"/>
    <col min="14593" max="14593" width="55.375" style="54" bestFit="1" customWidth="1"/>
    <col min="14594" max="14594" width="11.75" style="54" bestFit="1" customWidth="1"/>
    <col min="14595" max="14595" width="11.875" style="54" bestFit="1" customWidth="1"/>
    <col min="14596" max="14846" width="9" style="54"/>
    <col min="14847" max="14847" width="10.75" style="54" bestFit="1" customWidth="1"/>
    <col min="14848" max="14848" width="9" style="54" bestFit="1" customWidth="1"/>
    <col min="14849" max="14849" width="55.375" style="54" bestFit="1" customWidth="1"/>
    <col min="14850" max="14850" width="11.75" style="54" bestFit="1" customWidth="1"/>
    <col min="14851" max="14851" width="11.875" style="54" bestFit="1" customWidth="1"/>
    <col min="14852" max="15102" width="9" style="54"/>
    <col min="15103" max="15103" width="10.75" style="54" bestFit="1" customWidth="1"/>
    <col min="15104" max="15104" width="9" style="54" bestFit="1" customWidth="1"/>
    <col min="15105" max="15105" width="55.375" style="54" bestFit="1" customWidth="1"/>
    <col min="15106" max="15106" width="11.75" style="54" bestFit="1" customWidth="1"/>
    <col min="15107" max="15107" width="11.875" style="54" bestFit="1" customWidth="1"/>
    <col min="15108" max="15358" width="9" style="54"/>
    <col min="15359" max="15359" width="10.75" style="54" bestFit="1" customWidth="1"/>
    <col min="15360" max="15360" width="9" style="54" bestFit="1" customWidth="1"/>
    <col min="15361" max="15361" width="55.375" style="54" bestFit="1" customWidth="1"/>
    <col min="15362" max="15362" width="11.75" style="54" bestFit="1" customWidth="1"/>
    <col min="15363" max="15363" width="11.875" style="54" bestFit="1" customWidth="1"/>
    <col min="15364" max="15614" width="9" style="54"/>
    <col min="15615" max="15615" width="10.75" style="54" bestFit="1" customWidth="1"/>
    <col min="15616" max="15616" width="9" style="54" bestFit="1" customWidth="1"/>
    <col min="15617" max="15617" width="55.375" style="54" bestFit="1" customWidth="1"/>
    <col min="15618" max="15618" width="11.75" style="54" bestFit="1" customWidth="1"/>
    <col min="15619" max="15619" width="11.875" style="54" bestFit="1" customWidth="1"/>
    <col min="15620" max="15870" width="9" style="54"/>
    <col min="15871" max="15871" width="10.75" style="54" bestFit="1" customWidth="1"/>
    <col min="15872" max="15872" width="9" style="54" bestFit="1" customWidth="1"/>
    <col min="15873" max="15873" width="55.375" style="54" bestFit="1" customWidth="1"/>
    <col min="15874" max="15874" width="11.75" style="54" bestFit="1" customWidth="1"/>
    <col min="15875" max="15875" width="11.875" style="54" bestFit="1" customWidth="1"/>
    <col min="15876" max="16126" width="9" style="54"/>
    <col min="16127" max="16127" width="10.75" style="54" bestFit="1" customWidth="1"/>
    <col min="16128" max="16128" width="9" style="54" bestFit="1" customWidth="1"/>
    <col min="16129" max="16129" width="55.375" style="54" bestFit="1" customWidth="1"/>
    <col min="16130" max="16130" width="11.75" style="54" bestFit="1" customWidth="1"/>
    <col min="16131" max="16131" width="11.875" style="54" bestFit="1" customWidth="1"/>
    <col min="16132" max="16384" width="9" style="54"/>
  </cols>
  <sheetData>
    <row r="1" spans="1:9" s="196" customFormat="1" ht="30" customHeight="1" x14ac:dyDescent="0.2">
      <c r="A1" s="209" t="s">
        <v>260</v>
      </c>
      <c r="B1" s="209"/>
      <c r="C1" s="209"/>
      <c r="D1" s="209"/>
      <c r="E1" s="209"/>
      <c r="F1" s="209"/>
      <c r="G1" s="209"/>
    </row>
    <row r="2" spans="1:9" hidden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9" s="48" customFormat="1" ht="28.5" customHeight="1" x14ac:dyDescent="0.2">
      <c r="A3" s="48" t="s">
        <v>1</v>
      </c>
      <c r="B3" s="48" t="s">
        <v>2</v>
      </c>
      <c r="C3" s="48" t="s">
        <v>3</v>
      </c>
      <c r="D3" s="211" t="s">
        <v>266</v>
      </c>
      <c r="E3" s="211"/>
      <c r="F3" s="211"/>
      <c r="G3" s="211"/>
    </row>
    <row r="4" spans="1:9" s="48" customFormat="1" ht="15" x14ac:dyDescent="0.25">
      <c r="A4" s="55" t="s">
        <v>57</v>
      </c>
      <c r="B4" s="194" t="s">
        <v>266</v>
      </c>
      <c r="C4" s="194" t="s">
        <v>266</v>
      </c>
      <c r="D4" s="211"/>
      <c r="E4" s="211"/>
      <c r="F4" s="211"/>
      <c r="G4" s="211"/>
    </row>
    <row r="5" spans="1:9" s="48" customFormat="1" ht="15" x14ac:dyDescent="0.25">
      <c r="A5" s="55" t="s">
        <v>58</v>
      </c>
      <c r="B5" s="194" t="s">
        <v>266</v>
      </c>
      <c r="C5" s="194" t="s">
        <v>266</v>
      </c>
      <c r="D5" s="211"/>
      <c r="E5" s="211"/>
      <c r="F5" s="211"/>
      <c r="G5" s="211"/>
    </row>
    <row r="6" spans="1:9" s="48" customFormat="1" x14ac:dyDescent="0.2">
      <c r="A6" s="47" t="s">
        <v>85</v>
      </c>
      <c r="B6" s="60">
        <v>0</v>
      </c>
      <c r="C6" s="56">
        <f>B6/$B$44</f>
        <v>0</v>
      </c>
      <c r="D6" s="211"/>
      <c r="E6" s="211"/>
      <c r="F6" s="211"/>
      <c r="G6" s="211"/>
    </row>
    <row r="7" spans="1:9" ht="15" x14ac:dyDescent="0.25">
      <c r="A7" s="57" t="s">
        <v>59</v>
      </c>
      <c r="B7" s="58">
        <f>SUM(B6)</f>
        <v>0</v>
      </c>
      <c r="C7" s="59">
        <f>SUM(C6)</f>
        <v>0</v>
      </c>
      <c r="D7" s="211"/>
      <c r="E7" s="211"/>
      <c r="F7" s="211"/>
      <c r="G7" s="211"/>
    </row>
    <row r="8" spans="1:9" ht="15" x14ac:dyDescent="0.25">
      <c r="A8" s="55" t="s">
        <v>60</v>
      </c>
      <c r="B8" s="195" t="s">
        <v>266</v>
      </c>
      <c r="C8" s="193" t="s">
        <v>266</v>
      </c>
      <c r="D8" s="211"/>
      <c r="E8" s="211"/>
      <c r="F8" s="211"/>
      <c r="G8" s="211"/>
    </row>
    <row r="9" spans="1:9" x14ac:dyDescent="0.2">
      <c r="A9" s="47" t="s">
        <v>243</v>
      </c>
      <c r="B9" s="60">
        <v>0.02</v>
      </c>
      <c r="C9" s="56">
        <f t="shared" ref="C9:C14" si="0">B9/$B$44</f>
        <v>7.2801371286629559E-9</v>
      </c>
      <c r="D9" s="211"/>
      <c r="E9" s="211"/>
      <c r="F9" s="211"/>
      <c r="G9" s="211"/>
    </row>
    <row r="10" spans="1:9" x14ac:dyDescent="0.2">
      <c r="A10" s="47" t="s">
        <v>62</v>
      </c>
      <c r="B10" s="60">
        <f>1.27+11.95</f>
        <v>13.219999999999999</v>
      </c>
      <c r="C10" s="56">
        <f t="shared" si="0"/>
        <v>4.8121706420462136E-6</v>
      </c>
      <c r="D10" s="211"/>
      <c r="E10" s="211"/>
      <c r="F10" s="211"/>
      <c r="G10" s="211"/>
    </row>
    <row r="11" spans="1:9" x14ac:dyDescent="0.2">
      <c r="A11" s="47" t="s">
        <v>64</v>
      </c>
      <c r="B11" s="60">
        <v>2.12</v>
      </c>
      <c r="C11" s="56">
        <f t="shared" si="0"/>
        <v>7.7169453563827335E-7</v>
      </c>
      <c r="D11" s="211"/>
      <c r="E11" s="211"/>
      <c r="F11" s="211"/>
      <c r="G11" s="211"/>
    </row>
    <row r="12" spans="1:9" x14ac:dyDescent="0.2">
      <c r="A12" s="47" t="s">
        <v>63</v>
      </c>
      <c r="B12" s="60">
        <v>2.2999999999999998</v>
      </c>
      <c r="C12" s="56">
        <f t="shared" si="0"/>
        <v>8.372157697962398E-7</v>
      </c>
      <c r="D12" s="211"/>
      <c r="E12" s="211"/>
      <c r="F12" s="211"/>
      <c r="G12" s="211"/>
    </row>
    <row r="13" spans="1:9" x14ac:dyDescent="0.2">
      <c r="A13" s="47" t="s">
        <v>65</v>
      </c>
      <c r="B13" s="60">
        <v>3.48</v>
      </c>
      <c r="C13" s="56">
        <f t="shared" si="0"/>
        <v>1.2667438603873543E-6</v>
      </c>
      <c r="D13" s="211"/>
      <c r="E13" s="211"/>
      <c r="F13" s="211"/>
      <c r="G13" s="211"/>
    </row>
    <row r="14" spans="1:9" x14ac:dyDescent="0.2">
      <c r="A14" s="47" t="s">
        <v>265</v>
      </c>
      <c r="B14" s="60">
        <f>361.44+211.87+371.42</f>
        <v>944.73</v>
      </c>
      <c r="C14" s="56">
        <f t="shared" si="0"/>
        <v>3.4388819747808769E-4</v>
      </c>
      <c r="D14" s="211"/>
      <c r="E14" s="211"/>
      <c r="F14" s="211"/>
      <c r="G14" s="211"/>
    </row>
    <row r="15" spans="1:9" ht="15" x14ac:dyDescent="0.25">
      <c r="A15" s="57" t="s">
        <v>66</v>
      </c>
      <c r="B15" s="58">
        <f>SUM(B9:B14)</f>
        <v>965.87</v>
      </c>
      <c r="C15" s="59">
        <f>SUM(C9:C14)</f>
        <v>3.5158330242308444E-4</v>
      </c>
      <c r="D15" s="211"/>
      <c r="E15" s="211"/>
      <c r="F15" s="211"/>
      <c r="G15" s="211"/>
    </row>
    <row r="16" spans="1:9" ht="15" x14ac:dyDescent="0.25">
      <c r="A16" s="61" t="s">
        <v>67</v>
      </c>
      <c r="B16" s="62">
        <f>SUM(B7,B15)</f>
        <v>965.87</v>
      </c>
      <c r="C16" s="63">
        <f>B16/$B$44</f>
        <v>3.5158330242308444E-4</v>
      </c>
      <c r="D16" s="211"/>
      <c r="E16" s="211"/>
      <c r="F16" s="211"/>
      <c r="G16" s="211"/>
    </row>
    <row r="17" spans="1:7" s="48" customFormat="1" ht="15" x14ac:dyDescent="0.25">
      <c r="A17" s="55" t="s">
        <v>68</v>
      </c>
      <c r="B17" s="195" t="s">
        <v>266</v>
      </c>
      <c r="C17" s="193" t="s">
        <v>266</v>
      </c>
      <c r="D17" s="211"/>
      <c r="E17" s="211"/>
      <c r="F17" s="211"/>
      <c r="G17" s="211"/>
    </row>
    <row r="18" spans="1:7" s="48" customFormat="1" ht="15" x14ac:dyDescent="0.25">
      <c r="A18" s="55" t="s">
        <v>58</v>
      </c>
      <c r="B18" s="195" t="s">
        <v>266</v>
      </c>
      <c r="C18" s="193" t="s">
        <v>266</v>
      </c>
      <c r="D18" s="211"/>
      <c r="E18" s="211"/>
      <c r="F18" s="211"/>
      <c r="G18" s="211"/>
    </row>
    <row r="19" spans="1:7" s="48" customFormat="1" x14ac:dyDescent="0.2">
      <c r="A19" s="47" t="s">
        <v>69</v>
      </c>
      <c r="B19" s="60">
        <v>0</v>
      </c>
      <c r="C19" s="56">
        <f>B19/$B$44</f>
        <v>0</v>
      </c>
      <c r="D19" s="211"/>
      <c r="E19" s="211"/>
      <c r="F19" s="211"/>
      <c r="G19" s="211"/>
    </row>
    <row r="20" spans="1:7" s="48" customFormat="1" x14ac:dyDescent="0.2">
      <c r="A20" s="47" t="s">
        <v>70</v>
      </c>
      <c r="B20" s="60">
        <v>0</v>
      </c>
      <c r="C20" s="56">
        <f>B20/$B$44</f>
        <v>0</v>
      </c>
      <c r="D20" s="211"/>
      <c r="E20" s="211"/>
      <c r="F20" s="211"/>
      <c r="G20" s="211"/>
    </row>
    <row r="21" spans="1:7" s="48" customFormat="1" x14ac:dyDescent="0.2">
      <c r="A21" s="47" t="s">
        <v>71</v>
      </c>
      <c r="B21" s="60">
        <v>0</v>
      </c>
      <c r="C21" s="56">
        <f>B21/$B$44</f>
        <v>0</v>
      </c>
      <c r="D21" s="211"/>
      <c r="E21" s="211"/>
      <c r="F21" s="211"/>
      <c r="G21" s="211"/>
    </row>
    <row r="22" spans="1:7" s="48" customFormat="1" ht="15" x14ac:dyDescent="0.25">
      <c r="A22" s="57" t="s">
        <v>59</v>
      </c>
      <c r="B22" s="58">
        <f>SUM(B19:B21)</f>
        <v>0</v>
      </c>
      <c r="C22" s="59">
        <f>B22/$B$44</f>
        <v>0</v>
      </c>
      <c r="D22" s="211"/>
      <c r="E22" s="211"/>
      <c r="F22" s="211"/>
      <c r="G22" s="211"/>
    </row>
    <row r="23" spans="1:7" s="48" customFormat="1" ht="15" x14ac:dyDescent="0.25">
      <c r="A23" s="55" t="s">
        <v>60</v>
      </c>
      <c r="B23" s="195" t="s">
        <v>266</v>
      </c>
      <c r="C23" s="193" t="s">
        <v>266</v>
      </c>
      <c r="D23" s="211"/>
      <c r="E23" s="211"/>
      <c r="F23" s="211"/>
      <c r="G23" s="211"/>
    </row>
    <row r="24" spans="1:7" s="48" customFormat="1" x14ac:dyDescent="0.2">
      <c r="A24" s="160" t="s">
        <v>265</v>
      </c>
      <c r="B24" s="158">
        <f>41.05+20.84+42.56</f>
        <v>104.45</v>
      </c>
      <c r="C24" s="56">
        <f>B24/$B$44</f>
        <v>3.8020516154442285E-5</v>
      </c>
      <c r="D24" s="211"/>
      <c r="E24" s="211"/>
      <c r="F24" s="211"/>
      <c r="G24" s="211"/>
    </row>
    <row r="25" spans="1:7" s="48" customFormat="1" ht="15" x14ac:dyDescent="0.25">
      <c r="A25" s="57" t="s">
        <v>66</v>
      </c>
      <c r="B25" s="58">
        <f>SUM(B24)</f>
        <v>104.45</v>
      </c>
      <c r="C25" s="59">
        <f>B25/$B$44</f>
        <v>3.8020516154442285E-5</v>
      </c>
      <c r="D25" s="211"/>
      <c r="E25" s="211"/>
      <c r="F25" s="211"/>
      <c r="G25" s="211"/>
    </row>
    <row r="26" spans="1:7" s="48" customFormat="1" ht="15" x14ac:dyDescent="0.25">
      <c r="A26" s="61" t="s">
        <v>72</v>
      </c>
      <c r="B26" s="62">
        <f>SUM(B22,B25)</f>
        <v>104.45</v>
      </c>
      <c r="C26" s="63">
        <f>B26/$B$44</f>
        <v>3.8020516154442285E-5</v>
      </c>
      <c r="D26" s="211"/>
      <c r="E26" s="211"/>
      <c r="F26" s="211"/>
      <c r="G26" s="211"/>
    </row>
    <row r="27" spans="1:7" ht="15" x14ac:dyDescent="0.25">
      <c r="A27" s="55" t="s">
        <v>73</v>
      </c>
      <c r="B27" s="195" t="s">
        <v>266</v>
      </c>
      <c r="C27" s="193" t="s">
        <v>266</v>
      </c>
      <c r="D27" s="211"/>
      <c r="E27" s="211"/>
      <c r="F27" s="211"/>
      <c r="G27" s="211"/>
    </row>
    <row r="28" spans="1:7" x14ac:dyDescent="0.2">
      <c r="A28" s="47" t="s">
        <v>61</v>
      </c>
      <c r="B28" s="60">
        <v>0</v>
      </c>
      <c r="C28" s="56">
        <f>B28/$B$44</f>
        <v>0</v>
      </c>
      <c r="D28" s="211"/>
      <c r="E28" s="211"/>
      <c r="F28" s="211"/>
      <c r="G28" s="211"/>
    </row>
    <row r="29" spans="1:7" ht="15" x14ac:dyDescent="0.25">
      <c r="A29" s="57" t="s">
        <v>74</v>
      </c>
      <c r="B29" s="58">
        <f>SUM(B28)</f>
        <v>0</v>
      </c>
      <c r="C29" s="59">
        <f>B29/$B$44</f>
        <v>0</v>
      </c>
      <c r="D29" s="211"/>
      <c r="E29" s="211"/>
      <c r="F29" s="211"/>
      <c r="G29" s="211"/>
    </row>
    <row r="30" spans="1:7" ht="15" x14ac:dyDescent="0.25">
      <c r="A30" s="55" t="s">
        <v>75</v>
      </c>
      <c r="B30" s="195" t="s">
        <v>266</v>
      </c>
      <c r="C30" s="193" t="s">
        <v>266</v>
      </c>
      <c r="D30" s="211"/>
      <c r="E30" s="211"/>
      <c r="F30" s="211"/>
      <c r="G30" s="211"/>
    </row>
    <row r="31" spans="1:7" x14ac:dyDescent="0.2">
      <c r="A31" s="47" t="s">
        <v>76</v>
      </c>
      <c r="B31" s="60">
        <v>0</v>
      </c>
      <c r="C31" s="56">
        <f>B31/$B$44</f>
        <v>0</v>
      </c>
      <c r="D31" s="211"/>
      <c r="E31" s="211"/>
      <c r="F31" s="211"/>
      <c r="G31" s="211"/>
    </row>
    <row r="32" spans="1:7" x14ac:dyDescent="0.2">
      <c r="A32" s="47" t="s">
        <v>77</v>
      </c>
      <c r="B32" s="60">
        <v>0</v>
      </c>
      <c r="C32" s="56">
        <f>B32/$B$44</f>
        <v>0</v>
      </c>
      <c r="D32" s="211"/>
      <c r="E32" s="211"/>
      <c r="F32" s="211"/>
      <c r="G32" s="211"/>
    </row>
    <row r="33" spans="1:7" x14ac:dyDescent="0.2">
      <c r="A33" s="47" t="s">
        <v>71</v>
      </c>
      <c r="B33" s="60">
        <v>0</v>
      </c>
      <c r="C33" s="56">
        <f>B33/$B$44</f>
        <v>0</v>
      </c>
      <c r="D33" s="211"/>
      <c r="E33" s="211"/>
      <c r="F33" s="211"/>
      <c r="G33" s="211"/>
    </row>
    <row r="34" spans="1:7" ht="15" x14ac:dyDescent="0.25">
      <c r="A34" s="57" t="s">
        <v>78</v>
      </c>
      <c r="B34" s="58">
        <f>SUM(B31:B33)</f>
        <v>0</v>
      </c>
      <c r="C34" s="59">
        <f>B34/$B$44</f>
        <v>0</v>
      </c>
      <c r="D34" s="211"/>
      <c r="E34" s="211"/>
      <c r="F34" s="211"/>
      <c r="G34" s="211"/>
    </row>
    <row r="35" spans="1:7" ht="15" x14ac:dyDescent="0.25">
      <c r="A35" s="55" t="s">
        <v>79</v>
      </c>
      <c r="B35" s="195" t="s">
        <v>266</v>
      </c>
      <c r="C35" s="193" t="s">
        <v>266</v>
      </c>
      <c r="D35" s="211"/>
      <c r="E35" s="211"/>
      <c r="F35" s="211"/>
      <c r="G35" s="211"/>
    </row>
    <row r="36" spans="1:7" x14ac:dyDescent="0.2">
      <c r="A36" s="47" t="s">
        <v>76</v>
      </c>
      <c r="B36" s="60">
        <v>0</v>
      </c>
      <c r="C36" s="56">
        <f>B36/$B$44</f>
        <v>0</v>
      </c>
      <c r="D36" s="211"/>
      <c r="E36" s="211"/>
      <c r="F36" s="211"/>
      <c r="G36" s="211"/>
    </row>
    <row r="37" spans="1:7" x14ac:dyDescent="0.2">
      <c r="A37" s="47" t="s">
        <v>71</v>
      </c>
      <c r="B37" s="60">
        <v>0</v>
      </c>
      <c r="C37" s="56">
        <f>B37/$B$44</f>
        <v>0</v>
      </c>
      <c r="D37" s="211"/>
      <c r="E37" s="211"/>
      <c r="F37" s="211"/>
      <c r="G37" s="211"/>
    </row>
    <row r="38" spans="1:7" ht="15" x14ac:dyDescent="0.25">
      <c r="A38" s="57" t="s">
        <v>80</v>
      </c>
      <c r="B38" s="58">
        <f>SUM(B36:B37)</f>
        <v>0</v>
      </c>
      <c r="C38" s="59">
        <f>B38/$B$44</f>
        <v>0</v>
      </c>
      <c r="D38" s="211"/>
      <c r="E38" s="211"/>
      <c r="F38" s="211"/>
      <c r="G38" s="211"/>
    </row>
    <row r="39" spans="1:7" ht="15" x14ac:dyDescent="0.25">
      <c r="A39" s="55" t="s">
        <v>81</v>
      </c>
      <c r="B39" s="195" t="s">
        <v>266</v>
      </c>
      <c r="C39" s="193" t="s">
        <v>266</v>
      </c>
      <c r="D39" s="211"/>
      <c r="E39" s="211"/>
      <c r="F39" s="211"/>
      <c r="G39" s="211"/>
    </row>
    <row r="40" spans="1:7" x14ac:dyDescent="0.2">
      <c r="A40" s="47" t="s">
        <v>76</v>
      </c>
      <c r="B40" s="60">
        <v>0</v>
      </c>
      <c r="C40" s="56">
        <f>B40/$B$44</f>
        <v>0</v>
      </c>
      <c r="D40" s="211"/>
      <c r="E40" s="211"/>
      <c r="F40" s="211"/>
      <c r="G40" s="211"/>
    </row>
    <row r="41" spans="1:7" x14ac:dyDescent="0.2">
      <c r="A41" s="47" t="s">
        <v>71</v>
      </c>
      <c r="B41" s="60">
        <v>0</v>
      </c>
      <c r="C41" s="56">
        <f>B41/$B$44</f>
        <v>0</v>
      </c>
      <c r="D41" s="211"/>
      <c r="E41" s="211"/>
      <c r="F41" s="211"/>
      <c r="G41" s="211"/>
    </row>
    <row r="42" spans="1:7" ht="15" x14ac:dyDescent="0.25">
      <c r="A42" s="57" t="s">
        <v>82</v>
      </c>
      <c r="B42" s="58">
        <f>SUM(B40:B41)</f>
        <v>0</v>
      </c>
      <c r="C42" s="59">
        <f>B42/$B$44</f>
        <v>0</v>
      </c>
      <c r="D42" s="211"/>
      <c r="E42" s="211"/>
      <c r="F42" s="211"/>
      <c r="G42" s="211"/>
    </row>
    <row r="43" spans="1:7" ht="15" x14ac:dyDescent="0.25">
      <c r="A43" s="55" t="s">
        <v>83</v>
      </c>
      <c r="B43" s="64">
        <f>SUM(B16,B26,B29,B34,B38,B42)</f>
        <v>1070.32</v>
      </c>
      <c r="C43" s="65">
        <f>B43/$B$44</f>
        <v>3.896038185775267E-4</v>
      </c>
      <c r="D43" s="211"/>
      <c r="E43" s="211"/>
      <c r="F43" s="211"/>
      <c r="G43" s="211"/>
    </row>
    <row r="44" spans="1:7" s="48" customFormat="1" ht="15" x14ac:dyDescent="0.25">
      <c r="A44" s="55" t="s">
        <v>30</v>
      </c>
      <c r="B44" s="159">
        <v>2747201</v>
      </c>
      <c r="C44" s="65">
        <f>B44/$B$44</f>
        <v>1</v>
      </c>
      <c r="D44" s="211"/>
      <c r="E44" s="211"/>
      <c r="F44" s="211"/>
      <c r="G44" s="211"/>
    </row>
    <row r="45" spans="1:7" s="48" customFormat="1" ht="15" x14ac:dyDescent="0.25">
      <c r="A45" s="212" t="s">
        <v>84</v>
      </c>
      <c r="B45" s="212"/>
      <c r="C45" s="212"/>
      <c r="D45" s="212"/>
      <c r="E45" s="212"/>
      <c r="F45" s="212"/>
      <c r="G45" s="212"/>
    </row>
    <row r="46" spans="1:7" ht="15" x14ac:dyDescent="0.25">
      <c r="A46" s="213" t="s">
        <v>267</v>
      </c>
      <c r="B46" s="213"/>
      <c r="C46" s="213"/>
      <c r="D46" s="213"/>
      <c r="E46" s="213"/>
      <c r="F46" s="213"/>
      <c r="G46" s="213"/>
    </row>
    <row r="48" spans="1:7" ht="15" x14ac:dyDescent="0.25">
      <c r="B48" s="137"/>
    </row>
    <row r="52" spans="2:2" x14ac:dyDescent="0.2">
      <c r="B52" s="79"/>
    </row>
  </sheetData>
  <mergeCells count="4">
    <mergeCell ref="A1:G1"/>
    <mergeCell ref="D3:G44"/>
    <mergeCell ref="A45:G45"/>
    <mergeCell ref="A46:G46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K41"/>
  <sheetViews>
    <sheetView rightToLeft="1" topLeftCell="A25" zoomScale="85" zoomScaleNormal="85" workbookViewId="0">
      <selection activeCell="A42" sqref="A42"/>
    </sheetView>
  </sheetViews>
  <sheetFormatPr defaultRowHeight="14.25" x14ac:dyDescent="0.2"/>
  <cols>
    <col min="1" max="1" width="55.375" style="54" bestFit="1" customWidth="1"/>
    <col min="2" max="2" width="13.625" style="54" bestFit="1" customWidth="1"/>
    <col min="3" max="3" width="12" style="54" bestFit="1" customWidth="1"/>
    <col min="4" max="254" width="9" style="54"/>
    <col min="255" max="255" width="10.75" style="54" bestFit="1" customWidth="1"/>
    <col min="256" max="256" width="9" style="54" bestFit="1" customWidth="1"/>
    <col min="257" max="257" width="55.375" style="54" bestFit="1" customWidth="1"/>
    <col min="258" max="258" width="10" style="54" bestFit="1" customWidth="1"/>
    <col min="259" max="259" width="11.875" style="54" bestFit="1" customWidth="1"/>
    <col min="260" max="510" width="9" style="54"/>
    <col min="511" max="511" width="10.75" style="54" bestFit="1" customWidth="1"/>
    <col min="512" max="512" width="9" style="54" bestFit="1" customWidth="1"/>
    <col min="513" max="513" width="55.375" style="54" bestFit="1" customWidth="1"/>
    <col min="514" max="514" width="10" style="54" bestFit="1" customWidth="1"/>
    <col min="515" max="515" width="11.875" style="54" bestFit="1" customWidth="1"/>
    <col min="516" max="766" width="9" style="54"/>
    <col min="767" max="767" width="10.75" style="54" bestFit="1" customWidth="1"/>
    <col min="768" max="768" width="9" style="54" bestFit="1" customWidth="1"/>
    <col min="769" max="769" width="55.375" style="54" bestFit="1" customWidth="1"/>
    <col min="770" max="770" width="10" style="54" bestFit="1" customWidth="1"/>
    <col min="771" max="771" width="11.875" style="54" bestFit="1" customWidth="1"/>
    <col min="772" max="1022" width="9" style="54"/>
    <col min="1023" max="1023" width="10.75" style="54" bestFit="1" customWidth="1"/>
    <col min="1024" max="1024" width="9" style="54" bestFit="1" customWidth="1"/>
    <col min="1025" max="1025" width="55.375" style="54" bestFit="1" customWidth="1"/>
    <col min="1026" max="1026" width="10" style="54" bestFit="1" customWidth="1"/>
    <col min="1027" max="1027" width="11.875" style="54" bestFit="1" customWidth="1"/>
    <col min="1028" max="1278" width="9" style="54"/>
    <col min="1279" max="1279" width="10.75" style="54" bestFit="1" customWidth="1"/>
    <col min="1280" max="1280" width="9" style="54" bestFit="1" customWidth="1"/>
    <col min="1281" max="1281" width="55.375" style="54" bestFit="1" customWidth="1"/>
    <col min="1282" max="1282" width="10" style="54" bestFit="1" customWidth="1"/>
    <col min="1283" max="1283" width="11.875" style="54" bestFit="1" customWidth="1"/>
    <col min="1284" max="1534" width="9" style="54"/>
    <col min="1535" max="1535" width="10.75" style="54" bestFit="1" customWidth="1"/>
    <col min="1536" max="1536" width="9" style="54" bestFit="1" customWidth="1"/>
    <col min="1537" max="1537" width="55.375" style="54" bestFit="1" customWidth="1"/>
    <col min="1538" max="1538" width="10" style="54" bestFit="1" customWidth="1"/>
    <col min="1539" max="1539" width="11.875" style="54" bestFit="1" customWidth="1"/>
    <col min="1540" max="1790" width="9" style="54"/>
    <col min="1791" max="1791" width="10.75" style="54" bestFit="1" customWidth="1"/>
    <col min="1792" max="1792" width="9" style="54" bestFit="1" customWidth="1"/>
    <col min="1793" max="1793" width="55.375" style="54" bestFit="1" customWidth="1"/>
    <col min="1794" max="1794" width="10" style="54" bestFit="1" customWidth="1"/>
    <col min="1795" max="1795" width="11.875" style="54" bestFit="1" customWidth="1"/>
    <col min="1796" max="2046" width="9" style="54"/>
    <col min="2047" max="2047" width="10.75" style="54" bestFit="1" customWidth="1"/>
    <col min="2048" max="2048" width="9" style="54" bestFit="1" customWidth="1"/>
    <col min="2049" max="2049" width="55.375" style="54" bestFit="1" customWidth="1"/>
    <col min="2050" max="2050" width="10" style="54" bestFit="1" customWidth="1"/>
    <col min="2051" max="2051" width="11.875" style="54" bestFit="1" customWidth="1"/>
    <col min="2052" max="2302" width="9" style="54"/>
    <col min="2303" max="2303" width="10.75" style="54" bestFit="1" customWidth="1"/>
    <col min="2304" max="2304" width="9" style="54" bestFit="1" customWidth="1"/>
    <col min="2305" max="2305" width="55.375" style="54" bestFit="1" customWidth="1"/>
    <col min="2306" max="2306" width="10" style="54" bestFit="1" customWidth="1"/>
    <col min="2307" max="2307" width="11.875" style="54" bestFit="1" customWidth="1"/>
    <col min="2308" max="2558" width="9" style="54"/>
    <col min="2559" max="2559" width="10.75" style="54" bestFit="1" customWidth="1"/>
    <col min="2560" max="2560" width="9" style="54" bestFit="1" customWidth="1"/>
    <col min="2561" max="2561" width="55.375" style="54" bestFit="1" customWidth="1"/>
    <col min="2562" max="2562" width="10" style="54" bestFit="1" customWidth="1"/>
    <col min="2563" max="2563" width="11.875" style="54" bestFit="1" customWidth="1"/>
    <col min="2564" max="2814" width="9" style="54"/>
    <col min="2815" max="2815" width="10.75" style="54" bestFit="1" customWidth="1"/>
    <col min="2816" max="2816" width="9" style="54" bestFit="1" customWidth="1"/>
    <col min="2817" max="2817" width="55.375" style="54" bestFit="1" customWidth="1"/>
    <col min="2818" max="2818" width="10" style="54" bestFit="1" customWidth="1"/>
    <col min="2819" max="2819" width="11.875" style="54" bestFit="1" customWidth="1"/>
    <col min="2820" max="3070" width="9" style="54"/>
    <col min="3071" max="3071" width="10.75" style="54" bestFit="1" customWidth="1"/>
    <col min="3072" max="3072" width="9" style="54" bestFit="1" customWidth="1"/>
    <col min="3073" max="3073" width="55.375" style="54" bestFit="1" customWidth="1"/>
    <col min="3074" max="3074" width="10" style="54" bestFit="1" customWidth="1"/>
    <col min="3075" max="3075" width="11.875" style="54" bestFit="1" customWidth="1"/>
    <col min="3076" max="3326" width="9" style="54"/>
    <col min="3327" max="3327" width="10.75" style="54" bestFit="1" customWidth="1"/>
    <col min="3328" max="3328" width="9" style="54" bestFit="1" customWidth="1"/>
    <col min="3329" max="3329" width="55.375" style="54" bestFit="1" customWidth="1"/>
    <col min="3330" max="3330" width="10" style="54" bestFit="1" customWidth="1"/>
    <col min="3331" max="3331" width="11.875" style="54" bestFit="1" customWidth="1"/>
    <col min="3332" max="3582" width="9" style="54"/>
    <col min="3583" max="3583" width="10.75" style="54" bestFit="1" customWidth="1"/>
    <col min="3584" max="3584" width="9" style="54" bestFit="1" customWidth="1"/>
    <col min="3585" max="3585" width="55.375" style="54" bestFit="1" customWidth="1"/>
    <col min="3586" max="3586" width="10" style="54" bestFit="1" customWidth="1"/>
    <col min="3587" max="3587" width="11.875" style="54" bestFit="1" customWidth="1"/>
    <col min="3588" max="3838" width="9" style="54"/>
    <col min="3839" max="3839" width="10.75" style="54" bestFit="1" customWidth="1"/>
    <col min="3840" max="3840" width="9" style="54" bestFit="1" customWidth="1"/>
    <col min="3841" max="3841" width="55.375" style="54" bestFit="1" customWidth="1"/>
    <col min="3842" max="3842" width="10" style="54" bestFit="1" customWidth="1"/>
    <col min="3843" max="3843" width="11.875" style="54" bestFit="1" customWidth="1"/>
    <col min="3844" max="4094" width="9" style="54"/>
    <col min="4095" max="4095" width="10.75" style="54" bestFit="1" customWidth="1"/>
    <col min="4096" max="4096" width="9" style="54" bestFit="1" customWidth="1"/>
    <col min="4097" max="4097" width="55.375" style="54" bestFit="1" customWidth="1"/>
    <col min="4098" max="4098" width="10" style="54" bestFit="1" customWidth="1"/>
    <col min="4099" max="4099" width="11.875" style="54" bestFit="1" customWidth="1"/>
    <col min="4100" max="4350" width="9" style="54"/>
    <col min="4351" max="4351" width="10.75" style="54" bestFit="1" customWidth="1"/>
    <col min="4352" max="4352" width="9" style="54" bestFit="1" customWidth="1"/>
    <col min="4353" max="4353" width="55.375" style="54" bestFit="1" customWidth="1"/>
    <col min="4354" max="4354" width="10" style="54" bestFit="1" customWidth="1"/>
    <col min="4355" max="4355" width="11.875" style="54" bestFit="1" customWidth="1"/>
    <col min="4356" max="4606" width="9" style="54"/>
    <col min="4607" max="4607" width="10.75" style="54" bestFit="1" customWidth="1"/>
    <col min="4608" max="4608" width="9" style="54" bestFit="1" customWidth="1"/>
    <col min="4609" max="4609" width="55.375" style="54" bestFit="1" customWidth="1"/>
    <col min="4610" max="4610" width="10" style="54" bestFit="1" customWidth="1"/>
    <col min="4611" max="4611" width="11.875" style="54" bestFit="1" customWidth="1"/>
    <col min="4612" max="4862" width="9" style="54"/>
    <col min="4863" max="4863" width="10.75" style="54" bestFit="1" customWidth="1"/>
    <col min="4864" max="4864" width="9" style="54" bestFit="1" customWidth="1"/>
    <col min="4865" max="4865" width="55.375" style="54" bestFit="1" customWidth="1"/>
    <col min="4866" max="4866" width="10" style="54" bestFit="1" customWidth="1"/>
    <col min="4867" max="4867" width="11.875" style="54" bestFit="1" customWidth="1"/>
    <col min="4868" max="5118" width="9" style="54"/>
    <col min="5119" max="5119" width="10.75" style="54" bestFit="1" customWidth="1"/>
    <col min="5120" max="5120" width="9" style="54" bestFit="1" customWidth="1"/>
    <col min="5121" max="5121" width="55.375" style="54" bestFit="1" customWidth="1"/>
    <col min="5122" max="5122" width="10" style="54" bestFit="1" customWidth="1"/>
    <col min="5123" max="5123" width="11.875" style="54" bestFit="1" customWidth="1"/>
    <col min="5124" max="5374" width="9" style="54"/>
    <col min="5375" max="5375" width="10.75" style="54" bestFit="1" customWidth="1"/>
    <col min="5376" max="5376" width="9" style="54" bestFit="1" customWidth="1"/>
    <col min="5377" max="5377" width="55.375" style="54" bestFit="1" customWidth="1"/>
    <col min="5378" max="5378" width="10" style="54" bestFit="1" customWidth="1"/>
    <col min="5379" max="5379" width="11.875" style="54" bestFit="1" customWidth="1"/>
    <col min="5380" max="5630" width="9" style="54"/>
    <col min="5631" max="5631" width="10.75" style="54" bestFit="1" customWidth="1"/>
    <col min="5632" max="5632" width="9" style="54" bestFit="1" customWidth="1"/>
    <col min="5633" max="5633" width="55.375" style="54" bestFit="1" customWidth="1"/>
    <col min="5634" max="5634" width="10" style="54" bestFit="1" customWidth="1"/>
    <col min="5635" max="5635" width="11.875" style="54" bestFit="1" customWidth="1"/>
    <col min="5636" max="5886" width="9" style="54"/>
    <col min="5887" max="5887" width="10.75" style="54" bestFit="1" customWidth="1"/>
    <col min="5888" max="5888" width="9" style="54" bestFit="1" customWidth="1"/>
    <col min="5889" max="5889" width="55.375" style="54" bestFit="1" customWidth="1"/>
    <col min="5890" max="5890" width="10" style="54" bestFit="1" customWidth="1"/>
    <col min="5891" max="5891" width="11.875" style="54" bestFit="1" customWidth="1"/>
    <col min="5892" max="6142" width="9" style="54"/>
    <col min="6143" max="6143" width="10.75" style="54" bestFit="1" customWidth="1"/>
    <col min="6144" max="6144" width="9" style="54" bestFit="1" customWidth="1"/>
    <col min="6145" max="6145" width="55.375" style="54" bestFit="1" customWidth="1"/>
    <col min="6146" max="6146" width="10" style="54" bestFit="1" customWidth="1"/>
    <col min="6147" max="6147" width="11.875" style="54" bestFit="1" customWidth="1"/>
    <col min="6148" max="6398" width="9" style="54"/>
    <col min="6399" max="6399" width="10.75" style="54" bestFit="1" customWidth="1"/>
    <col min="6400" max="6400" width="9" style="54" bestFit="1" customWidth="1"/>
    <col min="6401" max="6401" width="55.375" style="54" bestFit="1" customWidth="1"/>
    <col min="6402" max="6402" width="10" style="54" bestFit="1" customWidth="1"/>
    <col min="6403" max="6403" width="11.875" style="54" bestFit="1" customWidth="1"/>
    <col min="6404" max="6654" width="9" style="54"/>
    <col min="6655" max="6655" width="10.75" style="54" bestFit="1" customWidth="1"/>
    <col min="6656" max="6656" width="9" style="54" bestFit="1" customWidth="1"/>
    <col min="6657" max="6657" width="55.375" style="54" bestFit="1" customWidth="1"/>
    <col min="6658" max="6658" width="10" style="54" bestFit="1" customWidth="1"/>
    <col min="6659" max="6659" width="11.875" style="54" bestFit="1" customWidth="1"/>
    <col min="6660" max="6910" width="9" style="54"/>
    <col min="6911" max="6911" width="10.75" style="54" bestFit="1" customWidth="1"/>
    <col min="6912" max="6912" width="9" style="54" bestFit="1" customWidth="1"/>
    <col min="6913" max="6913" width="55.375" style="54" bestFit="1" customWidth="1"/>
    <col min="6914" max="6914" width="10" style="54" bestFit="1" customWidth="1"/>
    <col min="6915" max="6915" width="11.875" style="54" bestFit="1" customWidth="1"/>
    <col min="6916" max="7166" width="9" style="54"/>
    <col min="7167" max="7167" width="10.75" style="54" bestFit="1" customWidth="1"/>
    <col min="7168" max="7168" width="9" style="54" bestFit="1" customWidth="1"/>
    <col min="7169" max="7169" width="55.375" style="54" bestFit="1" customWidth="1"/>
    <col min="7170" max="7170" width="10" style="54" bestFit="1" customWidth="1"/>
    <col min="7171" max="7171" width="11.875" style="54" bestFit="1" customWidth="1"/>
    <col min="7172" max="7422" width="9" style="54"/>
    <col min="7423" max="7423" width="10.75" style="54" bestFit="1" customWidth="1"/>
    <col min="7424" max="7424" width="9" style="54" bestFit="1" customWidth="1"/>
    <col min="7425" max="7425" width="55.375" style="54" bestFit="1" customWidth="1"/>
    <col min="7426" max="7426" width="10" style="54" bestFit="1" customWidth="1"/>
    <col min="7427" max="7427" width="11.875" style="54" bestFit="1" customWidth="1"/>
    <col min="7428" max="7678" width="9" style="54"/>
    <col min="7679" max="7679" width="10.75" style="54" bestFit="1" customWidth="1"/>
    <col min="7680" max="7680" width="9" style="54" bestFit="1" customWidth="1"/>
    <col min="7681" max="7681" width="55.375" style="54" bestFit="1" customWidth="1"/>
    <col min="7682" max="7682" width="10" style="54" bestFit="1" customWidth="1"/>
    <col min="7683" max="7683" width="11.875" style="54" bestFit="1" customWidth="1"/>
    <col min="7684" max="7934" width="9" style="54"/>
    <col min="7935" max="7935" width="10.75" style="54" bestFit="1" customWidth="1"/>
    <col min="7936" max="7936" width="9" style="54" bestFit="1" customWidth="1"/>
    <col min="7937" max="7937" width="55.375" style="54" bestFit="1" customWidth="1"/>
    <col min="7938" max="7938" width="10" style="54" bestFit="1" customWidth="1"/>
    <col min="7939" max="7939" width="11.875" style="54" bestFit="1" customWidth="1"/>
    <col min="7940" max="8190" width="9" style="54"/>
    <col min="8191" max="8191" width="10.75" style="54" bestFit="1" customWidth="1"/>
    <col min="8192" max="8192" width="9" style="54" bestFit="1" customWidth="1"/>
    <col min="8193" max="8193" width="55.375" style="54" bestFit="1" customWidth="1"/>
    <col min="8194" max="8194" width="10" style="54" bestFit="1" customWidth="1"/>
    <col min="8195" max="8195" width="11.875" style="54" bestFit="1" customWidth="1"/>
    <col min="8196" max="8446" width="9" style="54"/>
    <col min="8447" max="8447" width="10.75" style="54" bestFit="1" customWidth="1"/>
    <col min="8448" max="8448" width="9" style="54" bestFit="1" customWidth="1"/>
    <col min="8449" max="8449" width="55.375" style="54" bestFit="1" customWidth="1"/>
    <col min="8450" max="8450" width="10" style="54" bestFit="1" customWidth="1"/>
    <col min="8451" max="8451" width="11.875" style="54" bestFit="1" customWidth="1"/>
    <col min="8452" max="8702" width="9" style="54"/>
    <col min="8703" max="8703" width="10.75" style="54" bestFit="1" customWidth="1"/>
    <col min="8704" max="8704" width="9" style="54" bestFit="1" customWidth="1"/>
    <col min="8705" max="8705" width="55.375" style="54" bestFit="1" customWidth="1"/>
    <col min="8706" max="8706" width="10" style="54" bestFit="1" customWidth="1"/>
    <col min="8707" max="8707" width="11.875" style="54" bestFit="1" customWidth="1"/>
    <col min="8708" max="8958" width="9" style="54"/>
    <col min="8959" max="8959" width="10.75" style="54" bestFit="1" customWidth="1"/>
    <col min="8960" max="8960" width="9" style="54" bestFit="1" customWidth="1"/>
    <col min="8961" max="8961" width="55.375" style="54" bestFit="1" customWidth="1"/>
    <col min="8962" max="8962" width="10" style="54" bestFit="1" customWidth="1"/>
    <col min="8963" max="8963" width="11.875" style="54" bestFit="1" customWidth="1"/>
    <col min="8964" max="9214" width="9" style="54"/>
    <col min="9215" max="9215" width="10.75" style="54" bestFit="1" customWidth="1"/>
    <col min="9216" max="9216" width="9" style="54" bestFit="1" customWidth="1"/>
    <col min="9217" max="9217" width="55.375" style="54" bestFit="1" customWidth="1"/>
    <col min="9218" max="9218" width="10" style="54" bestFit="1" customWidth="1"/>
    <col min="9219" max="9219" width="11.875" style="54" bestFit="1" customWidth="1"/>
    <col min="9220" max="9470" width="9" style="54"/>
    <col min="9471" max="9471" width="10.75" style="54" bestFit="1" customWidth="1"/>
    <col min="9472" max="9472" width="9" style="54" bestFit="1" customWidth="1"/>
    <col min="9473" max="9473" width="55.375" style="54" bestFit="1" customWidth="1"/>
    <col min="9474" max="9474" width="10" style="54" bestFit="1" customWidth="1"/>
    <col min="9475" max="9475" width="11.875" style="54" bestFit="1" customWidth="1"/>
    <col min="9476" max="9726" width="9" style="54"/>
    <col min="9727" max="9727" width="10.75" style="54" bestFit="1" customWidth="1"/>
    <col min="9728" max="9728" width="9" style="54" bestFit="1" customWidth="1"/>
    <col min="9729" max="9729" width="55.375" style="54" bestFit="1" customWidth="1"/>
    <col min="9730" max="9730" width="10" style="54" bestFit="1" customWidth="1"/>
    <col min="9731" max="9731" width="11.875" style="54" bestFit="1" customWidth="1"/>
    <col min="9732" max="9982" width="9" style="54"/>
    <col min="9983" max="9983" width="10.75" style="54" bestFit="1" customWidth="1"/>
    <col min="9984" max="9984" width="9" style="54" bestFit="1" customWidth="1"/>
    <col min="9985" max="9985" width="55.375" style="54" bestFit="1" customWidth="1"/>
    <col min="9986" max="9986" width="10" style="54" bestFit="1" customWidth="1"/>
    <col min="9987" max="9987" width="11.875" style="54" bestFit="1" customWidth="1"/>
    <col min="9988" max="10238" width="9" style="54"/>
    <col min="10239" max="10239" width="10.75" style="54" bestFit="1" customWidth="1"/>
    <col min="10240" max="10240" width="9" style="54" bestFit="1" customWidth="1"/>
    <col min="10241" max="10241" width="55.375" style="54" bestFit="1" customWidth="1"/>
    <col min="10242" max="10242" width="10" style="54" bestFit="1" customWidth="1"/>
    <col min="10243" max="10243" width="11.875" style="54" bestFit="1" customWidth="1"/>
    <col min="10244" max="10494" width="9" style="54"/>
    <col min="10495" max="10495" width="10.75" style="54" bestFit="1" customWidth="1"/>
    <col min="10496" max="10496" width="9" style="54" bestFit="1" customWidth="1"/>
    <col min="10497" max="10497" width="55.375" style="54" bestFit="1" customWidth="1"/>
    <col min="10498" max="10498" width="10" style="54" bestFit="1" customWidth="1"/>
    <col min="10499" max="10499" width="11.875" style="54" bestFit="1" customWidth="1"/>
    <col min="10500" max="10750" width="9" style="54"/>
    <col min="10751" max="10751" width="10.75" style="54" bestFit="1" customWidth="1"/>
    <col min="10752" max="10752" width="9" style="54" bestFit="1" customWidth="1"/>
    <col min="10753" max="10753" width="55.375" style="54" bestFit="1" customWidth="1"/>
    <col min="10754" max="10754" width="10" style="54" bestFit="1" customWidth="1"/>
    <col min="10755" max="10755" width="11.875" style="54" bestFit="1" customWidth="1"/>
    <col min="10756" max="11006" width="9" style="54"/>
    <col min="11007" max="11007" width="10.75" style="54" bestFit="1" customWidth="1"/>
    <col min="11008" max="11008" width="9" style="54" bestFit="1" customWidth="1"/>
    <col min="11009" max="11009" width="55.375" style="54" bestFit="1" customWidth="1"/>
    <col min="11010" max="11010" width="10" style="54" bestFit="1" customWidth="1"/>
    <col min="11011" max="11011" width="11.875" style="54" bestFit="1" customWidth="1"/>
    <col min="11012" max="11262" width="9" style="54"/>
    <col min="11263" max="11263" width="10.75" style="54" bestFit="1" customWidth="1"/>
    <col min="11264" max="11264" width="9" style="54" bestFit="1" customWidth="1"/>
    <col min="11265" max="11265" width="55.375" style="54" bestFit="1" customWidth="1"/>
    <col min="11266" max="11266" width="10" style="54" bestFit="1" customWidth="1"/>
    <col min="11267" max="11267" width="11.875" style="54" bestFit="1" customWidth="1"/>
    <col min="11268" max="11518" width="9" style="54"/>
    <col min="11519" max="11519" width="10.75" style="54" bestFit="1" customWidth="1"/>
    <col min="11520" max="11520" width="9" style="54" bestFit="1" customWidth="1"/>
    <col min="11521" max="11521" width="55.375" style="54" bestFit="1" customWidth="1"/>
    <col min="11522" max="11522" width="10" style="54" bestFit="1" customWidth="1"/>
    <col min="11523" max="11523" width="11.875" style="54" bestFit="1" customWidth="1"/>
    <col min="11524" max="11774" width="9" style="54"/>
    <col min="11775" max="11775" width="10.75" style="54" bestFit="1" customWidth="1"/>
    <col min="11776" max="11776" width="9" style="54" bestFit="1" customWidth="1"/>
    <col min="11777" max="11777" width="55.375" style="54" bestFit="1" customWidth="1"/>
    <col min="11778" max="11778" width="10" style="54" bestFit="1" customWidth="1"/>
    <col min="11779" max="11779" width="11.875" style="54" bestFit="1" customWidth="1"/>
    <col min="11780" max="12030" width="9" style="54"/>
    <col min="12031" max="12031" width="10.75" style="54" bestFit="1" customWidth="1"/>
    <col min="12032" max="12032" width="9" style="54" bestFit="1" customWidth="1"/>
    <col min="12033" max="12033" width="55.375" style="54" bestFit="1" customWidth="1"/>
    <col min="12034" max="12034" width="10" style="54" bestFit="1" customWidth="1"/>
    <col min="12035" max="12035" width="11.875" style="54" bestFit="1" customWidth="1"/>
    <col min="12036" max="12286" width="9" style="54"/>
    <col min="12287" max="12287" width="10.75" style="54" bestFit="1" customWidth="1"/>
    <col min="12288" max="12288" width="9" style="54" bestFit="1" customWidth="1"/>
    <col min="12289" max="12289" width="55.375" style="54" bestFit="1" customWidth="1"/>
    <col min="12290" max="12290" width="10" style="54" bestFit="1" customWidth="1"/>
    <col min="12291" max="12291" width="11.875" style="54" bestFit="1" customWidth="1"/>
    <col min="12292" max="12542" width="9" style="54"/>
    <col min="12543" max="12543" width="10.75" style="54" bestFit="1" customWidth="1"/>
    <col min="12544" max="12544" width="9" style="54" bestFit="1" customWidth="1"/>
    <col min="12545" max="12545" width="55.375" style="54" bestFit="1" customWidth="1"/>
    <col min="12546" max="12546" width="10" style="54" bestFit="1" customWidth="1"/>
    <col min="12547" max="12547" width="11.875" style="54" bestFit="1" customWidth="1"/>
    <col min="12548" max="12798" width="9" style="54"/>
    <col min="12799" max="12799" width="10.75" style="54" bestFit="1" customWidth="1"/>
    <col min="12800" max="12800" width="9" style="54" bestFit="1" customWidth="1"/>
    <col min="12801" max="12801" width="55.375" style="54" bestFit="1" customWidth="1"/>
    <col min="12802" max="12802" width="10" style="54" bestFit="1" customWidth="1"/>
    <col min="12803" max="12803" width="11.875" style="54" bestFit="1" customWidth="1"/>
    <col min="12804" max="13054" width="9" style="54"/>
    <col min="13055" max="13055" width="10.75" style="54" bestFit="1" customWidth="1"/>
    <col min="13056" max="13056" width="9" style="54" bestFit="1" customWidth="1"/>
    <col min="13057" max="13057" width="55.375" style="54" bestFit="1" customWidth="1"/>
    <col min="13058" max="13058" width="10" style="54" bestFit="1" customWidth="1"/>
    <col min="13059" max="13059" width="11.875" style="54" bestFit="1" customWidth="1"/>
    <col min="13060" max="13310" width="9" style="54"/>
    <col min="13311" max="13311" width="10.75" style="54" bestFit="1" customWidth="1"/>
    <col min="13312" max="13312" width="9" style="54" bestFit="1" customWidth="1"/>
    <col min="13313" max="13313" width="55.375" style="54" bestFit="1" customWidth="1"/>
    <col min="13314" max="13314" width="10" style="54" bestFit="1" customWidth="1"/>
    <col min="13315" max="13315" width="11.875" style="54" bestFit="1" customWidth="1"/>
    <col min="13316" max="13566" width="9" style="54"/>
    <col min="13567" max="13567" width="10.75" style="54" bestFit="1" customWidth="1"/>
    <col min="13568" max="13568" width="9" style="54" bestFit="1" customWidth="1"/>
    <col min="13569" max="13569" width="55.375" style="54" bestFit="1" customWidth="1"/>
    <col min="13570" max="13570" width="10" style="54" bestFit="1" customWidth="1"/>
    <col min="13571" max="13571" width="11.875" style="54" bestFit="1" customWidth="1"/>
    <col min="13572" max="13822" width="9" style="54"/>
    <col min="13823" max="13823" width="10.75" style="54" bestFit="1" customWidth="1"/>
    <col min="13824" max="13824" width="9" style="54" bestFit="1" customWidth="1"/>
    <col min="13825" max="13825" width="55.375" style="54" bestFit="1" customWidth="1"/>
    <col min="13826" max="13826" width="10" style="54" bestFit="1" customWidth="1"/>
    <col min="13827" max="13827" width="11.875" style="54" bestFit="1" customWidth="1"/>
    <col min="13828" max="14078" width="9" style="54"/>
    <col min="14079" max="14079" width="10.75" style="54" bestFit="1" customWidth="1"/>
    <col min="14080" max="14080" width="9" style="54" bestFit="1" customWidth="1"/>
    <col min="14081" max="14081" width="55.375" style="54" bestFit="1" customWidth="1"/>
    <col min="14082" max="14082" width="10" style="54" bestFit="1" customWidth="1"/>
    <col min="14083" max="14083" width="11.875" style="54" bestFit="1" customWidth="1"/>
    <col min="14084" max="14334" width="9" style="54"/>
    <col min="14335" max="14335" width="10.75" style="54" bestFit="1" customWidth="1"/>
    <col min="14336" max="14336" width="9" style="54" bestFit="1" customWidth="1"/>
    <col min="14337" max="14337" width="55.375" style="54" bestFit="1" customWidth="1"/>
    <col min="14338" max="14338" width="10" style="54" bestFit="1" customWidth="1"/>
    <col min="14339" max="14339" width="11.875" style="54" bestFit="1" customWidth="1"/>
    <col min="14340" max="14590" width="9" style="54"/>
    <col min="14591" max="14591" width="10.75" style="54" bestFit="1" customWidth="1"/>
    <col min="14592" max="14592" width="9" style="54" bestFit="1" customWidth="1"/>
    <col min="14593" max="14593" width="55.375" style="54" bestFit="1" customWidth="1"/>
    <col min="14594" max="14594" width="10" style="54" bestFit="1" customWidth="1"/>
    <col min="14595" max="14595" width="11.875" style="54" bestFit="1" customWidth="1"/>
    <col min="14596" max="14846" width="9" style="54"/>
    <col min="14847" max="14847" width="10.75" style="54" bestFit="1" customWidth="1"/>
    <col min="14848" max="14848" width="9" style="54" bestFit="1" customWidth="1"/>
    <col min="14849" max="14849" width="55.375" style="54" bestFit="1" customWidth="1"/>
    <col min="14850" max="14850" width="10" style="54" bestFit="1" customWidth="1"/>
    <col min="14851" max="14851" width="11.875" style="54" bestFit="1" customWidth="1"/>
    <col min="14852" max="15102" width="9" style="54"/>
    <col min="15103" max="15103" width="10.75" style="54" bestFit="1" customWidth="1"/>
    <col min="15104" max="15104" width="9" style="54" bestFit="1" customWidth="1"/>
    <col min="15105" max="15105" width="55.375" style="54" bestFit="1" customWidth="1"/>
    <col min="15106" max="15106" width="10" style="54" bestFit="1" customWidth="1"/>
    <col min="15107" max="15107" width="11.875" style="54" bestFit="1" customWidth="1"/>
    <col min="15108" max="15358" width="9" style="54"/>
    <col min="15359" max="15359" width="10.75" style="54" bestFit="1" customWidth="1"/>
    <col min="15360" max="15360" width="9" style="54" bestFit="1" customWidth="1"/>
    <col min="15361" max="15361" width="55.375" style="54" bestFit="1" customWidth="1"/>
    <col min="15362" max="15362" width="10" style="54" bestFit="1" customWidth="1"/>
    <col min="15363" max="15363" width="11.875" style="54" bestFit="1" customWidth="1"/>
    <col min="15364" max="15614" width="9" style="54"/>
    <col min="15615" max="15615" width="10.75" style="54" bestFit="1" customWidth="1"/>
    <col min="15616" max="15616" width="9" style="54" bestFit="1" customWidth="1"/>
    <col min="15617" max="15617" width="55.375" style="54" bestFit="1" customWidth="1"/>
    <col min="15618" max="15618" width="10" style="54" bestFit="1" customWidth="1"/>
    <col min="15619" max="15619" width="11.875" style="54" bestFit="1" customWidth="1"/>
    <col min="15620" max="15870" width="9" style="54"/>
    <col min="15871" max="15871" width="10.75" style="54" bestFit="1" customWidth="1"/>
    <col min="15872" max="15872" width="9" style="54" bestFit="1" customWidth="1"/>
    <col min="15873" max="15873" width="55.375" style="54" bestFit="1" customWidth="1"/>
    <col min="15874" max="15874" width="10" style="54" bestFit="1" customWidth="1"/>
    <col min="15875" max="15875" width="11.875" style="54" bestFit="1" customWidth="1"/>
    <col min="15876" max="16126" width="9" style="54"/>
    <col min="16127" max="16127" width="10.75" style="54" bestFit="1" customWidth="1"/>
    <col min="16128" max="16128" width="9" style="54" bestFit="1" customWidth="1"/>
    <col min="16129" max="16129" width="55.375" style="54" bestFit="1" customWidth="1"/>
    <col min="16130" max="16130" width="10" style="54" bestFit="1" customWidth="1"/>
    <col min="16131" max="16131" width="11.875" style="54" bestFit="1" customWidth="1"/>
    <col min="16132" max="16384" width="9" style="54"/>
  </cols>
  <sheetData>
    <row r="1" spans="1:11" s="196" customFormat="1" ht="30" customHeight="1" x14ac:dyDescent="0.2">
      <c r="A1" s="209" t="s">
        <v>250</v>
      </c>
      <c r="B1" s="209"/>
      <c r="C1" s="209"/>
      <c r="D1" s="209"/>
      <c r="E1" s="209"/>
      <c r="F1" s="209"/>
      <c r="G1" s="209"/>
      <c r="H1" s="201"/>
      <c r="I1" s="201"/>
      <c r="J1" s="201"/>
      <c r="K1" s="201"/>
    </row>
    <row r="2" spans="1:11" s="48" customFormat="1" ht="15" hidden="1" x14ac:dyDescent="0.25">
      <c r="A2" s="55"/>
      <c r="B2" s="47"/>
      <c r="C2" s="47"/>
      <c r="D2" s="47"/>
      <c r="E2" s="47"/>
      <c r="F2" s="47"/>
      <c r="G2" s="47"/>
      <c r="H2" s="47"/>
      <c r="I2" s="47"/>
      <c r="J2" s="47"/>
    </row>
    <row r="3" spans="1:11" s="48" customFormat="1" x14ac:dyDescent="0.2">
      <c r="A3" s="48" t="s">
        <v>1</v>
      </c>
      <c r="B3" s="48" t="s">
        <v>2</v>
      </c>
      <c r="C3" s="48" t="s">
        <v>3</v>
      </c>
      <c r="D3" s="211" t="s">
        <v>266</v>
      </c>
      <c r="E3" s="211"/>
      <c r="F3" s="211"/>
      <c r="G3" s="211"/>
    </row>
    <row r="4" spans="1:11" s="48" customFormat="1" ht="15" x14ac:dyDescent="0.25">
      <c r="A4" s="55" t="s">
        <v>57</v>
      </c>
      <c r="B4" s="194" t="s">
        <v>266</v>
      </c>
      <c r="C4" s="194" t="s">
        <v>266</v>
      </c>
      <c r="D4" s="211"/>
      <c r="E4" s="211"/>
      <c r="F4" s="211"/>
      <c r="G4" s="211"/>
    </row>
    <row r="5" spans="1:11" s="48" customFormat="1" ht="15" x14ac:dyDescent="0.25">
      <c r="A5" s="55" t="s">
        <v>58</v>
      </c>
      <c r="B5" s="194" t="s">
        <v>266</v>
      </c>
      <c r="C5" s="194" t="s">
        <v>266</v>
      </c>
      <c r="D5" s="211"/>
      <c r="E5" s="211"/>
      <c r="F5" s="211"/>
      <c r="G5" s="211"/>
    </row>
    <row r="6" spans="1:11" s="48" customFormat="1" x14ac:dyDescent="0.2">
      <c r="A6" s="47" t="s">
        <v>85</v>
      </c>
      <c r="B6" s="60">
        <v>0</v>
      </c>
      <c r="C6" s="56">
        <f>B6/$B$39</f>
        <v>0</v>
      </c>
      <c r="D6" s="211"/>
      <c r="E6" s="211"/>
      <c r="F6" s="211"/>
      <c r="G6" s="211"/>
    </row>
    <row r="7" spans="1:11" s="48" customFormat="1" ht="15" x14ac:dyDescent="0.25">
      <c r="A7" s="57" t="s">
        <v>59</v>
      </c>
      <c r="B7" s="58">
        <f>SUM(B6)</f>
        <v>0</v>
      </c>
      <c r="C7" s="59">
        <f t="shared" ref="C7:C39" si="0">B7/$B$39</f>
        <v>0</v>
      </c>
      <c r="D7" s="211"/>
      <c r="E7" s="211"/>
      <c r="F7" s="211"/>
      <c r="G7" s="211"/>
    </row>
    <row r="8" spans="1:11" s="48" customFormat="1" ht="15" x14ac:dyDescent="0.25">
      <c r="A8" s="55" t="s">
        <v>60</v>
      </c>
      <c r="B8" s="195" t="s">
        <v>266</v>
      </c>
      <c r="C8" s="193" t="s">
        <v>266</v>
      </c>
      <c r="D8" s="211"/>
      <c r="E8" s="211"/>
      <c r="F8" s="211"/>
      <c r="G8" s="211"/>
    </row>
    <row r="9" spans="1:11" s="48" customFormat="1" x14ac:dyDescent="0.2">
      <c r="A9" s="160" t="s">
        <v>265</v>
      </c>
      <c r="B9" s="149">
        <v>13.04</v>
      </c>
      <c r="C9" s="56">
        <f t="shared" si="0"/>
        <v>1.8878435005653552E-4</v>
      </c>
      <c r="D9" s="211"/>
      <c r="E9" s="211"/>
      <c r="F9" s="211"/>
      <c r="G9" s="211"/>
    </row>
    <row r="10" spans="1:11" s="48" customFormat="1" ht="15" x14ac:dyDescent="0.25">
      <c r="A10" s="57" t="s">
        <v>66</v>
      </c>
      <c r="B10" s="144">
        <f>SUM(B9)</f>
        <v>13.04</v>
      </c>
      <c r="C10" s="59">
        <f t="shared" si="0"/>
        <v>1.8878435005653552E-4</v>
      </c>
      <c r="D10" s="211"/>
      <c r="E10" s="211"/>
      <c r="F10" s="211"/>
      <c r="G10" s="211"/>
    </row>
    <row r="11" spans="1:11" s="48" customFormat="1" ht="15" x14ac:dyDescent="0.25">
      <c r="A11" s="61" t="s">
        <v>67</v>
      </c>
      <c r="B11" s="62">
        <f>SUM(B7,B10)</f>
        <v>13.04</v>
      </c>
      <c r="C11" s="63">
        <f t="shared" si="0"/>
        <v>1.8878435005653552E-4</v>
      </c>
      <c r="D11" s="211"/>
      <c r="E11" s="211"/>
      <c r="F11" s="211"/>
      <c r="G11" s="211"/>
    </row>
    <row r="12" spans="1:11" s="48" customFormat="1" ht="15" x14ac:dyDescent="0.25">
      <c r="A12" s="55" t="s">
        <v>68</v>
      </c>
      <c r="B12" s="195" t="s">
        <v>266</v>
      </c>
      <c r="C12" s="193" t="s">
        <v>266</v>
      </c>
      <c r="D12" s="211"/>
      <c r="E12" s="211"/>
      <c r="F12" s="211"/>
      <c r="G12" s="211"/>
    </row>
    <row r="13" spans="1:11" s="48" customFormat="1" ht="15" x14ac:dyDescent="0.25">
      <c r="A13" s="55" t="s">
        <v>58</v>
      </c>
      <c r="B13" s="195" t="s">
        <v>266</v>
      </c>
      <c r="C13" s="193" t="s">
        <v>266</v>
      </c>
      <c r="D13" s="211"/>
      <c r="E13" s="211"/>
      <c r="F13" s="211"/>
      <c r="G13" s="211"/>
    </row>
    <row r="14" spans="1:11" s="48" customFormat="1" x14ac:dyDescent="0.2">
      <c r="A14" s="47" t="s">
        <v>69</v>
      </c>
      <c r="B14" s="60">
        <v>0</v>
      </c>
      <c r="C14" s="56">
        <f t="shared" si="0"/>
        <v>0</v>
      </c>
      <c r="D14" s="211"/>
      <c r="E14" s="211"/>
      <c r="F14" s="211"/>
      <c r="G14" s="211"/>
    </row>
    <row r="15" spans="1:11" s="48" customFormat="1" x14ac:dyDescent="0.2">
      <c r="A15" s="47" t="s">
        <v>70</v>
      </c>
      <c r="B15" s="60">
        <v>0</v>
      </c>
      <c r="C15" s="56">
        <f t="shared" si="0"/>
        <v>0</v>
      </c>
      <c r="D15" s="211"/>
      <c r="E15" s="211"/>
      <c r="F15" s="211"/>
      <c r="G15" s="211"/>
    </row>
    <row r="16" spans="1:11" s="48" customFormat="1" x14ac:dyDescent="0.2">
      <c r="A16" s="47" t="s">
        <v>71</v>
      </c>
      <c r="B16" s="60">
        <v>0</v>
      </c>
      <c r="C16" s="56">
        <f t="shared" si="0"/>
        <v>0</v>
      </c>
      <c r="D16" s="211"/>
      <c r="E16" s="211"/>
      <c r="F16" s="211"/>
      <c r="G16" s="211"/>
    </row>
    <row r="17" spans="1:7" s="48" customFormat="1" ht="15" x14ac:dyDescent="0.25">
      <c r="A17" s="57" t="s">
        <v>59</v>
      </c>
      <c r="B17" s="58">
        <f>SUM(B14:B16)</f>
        <v>0</v>
      </c>
      <c r="C17" s="59">
        <f t="shared" si="0"/>
        <v>0</v>
      </c>
      <c r="D17" s="211"/>
      <c r="E17" s="211"/>
      <c r="F17" s="211"/>
      <c r="G17" s="211"/>
    </row>
    <row r="18" spans="1:7" s="48" customFormat="1" ht="15" x14ac:dyDescent="0.25">
      <c r="A18" s="55" t="s">
        <v>60</v>
      </c>
      <c r="B18" s="195" t="s">
        <v>266</v>
      </c>
      <c r="C18" s="193" t="s">
        <v>266</v>
      </c>
      <c r="D18" s="211"/>
      <c r="E18" s="211"/>
      <c r="F18" s="211"/>
      <c r="G18" s="211"/>
    </row>
    <row r="19" spans="1:7" s="48" customFormat="1" x14ac:dyDescent="0.2">
      <c r="A19" s="160" t="s">
        <v>265</v>
      </c>
      <c r="B19" s="149">
        <v>1.35</v>
      </c>
      <c r="C19" s="56">
        <f t="shared" si="0"/>
        <v>1.9544392068736422E-5</v>
      </c>
      <c r="D19" s="211"/>
      <c r="E19" s="211"/>
      <c r="F19" s="211"/>
      <c r="G19" s="211"/>
    </row>
    <row r="20" spans="1:7" s="48" customFormat="1" ht="15" x14ac:dyDescent="0.25">
      <c r="A20" s="57" t="s">
        <v>66</v>
      </c>
      <c r="B20" s="58">
        <f>SUM(B19)</f>
        <v>1.35</v>
      </c>
      <c r="C20" s="59">
        <f t="shared" si="0"/>
        <v>1.9544392068736422E-5</v>
      </c>
      <c r="D20" s="211"/>
      <c r="E20" s="211"/>
      <c r="F20" s="211"/>
      <c r="G20" s="211"/>
    </row>
    <row r="21" spans="1:7" s="48" customFormat="1" ht="15" x14ac:dyDescent="0.25">
      <c r="A21" s="61" t="s">
        <v>72</v>
      </c>
      <c r="B21" s="62">
        <f>SUM(B17,B20)</f>
        <v>1.35</v>
      </c>
      <c r="C21" s="63">
        <f t="shared" si="0"/>
        <v>1.9544392068736422E-5</v>
      </c>
      <c r="D21" s="211"/>
      <c r="E21" s="211"/>
      <c r="F21" s="211"/>
      <c r="G21" s="211"/>
    </row>
    <row r="22" spans="1:7" s="48" customFormat="1" ht="15" x14ac:dyDescent="0.25">
      <c r="A22" s="55" t="s">
        <v>73</v>
      </c>
      <c r="B22" s="195" t="s">
        <v>266</v>
      </c>
      <c r="C22" s="193" t="s">
        <v>266</v>
      </c>
      <c r="D22" s="211"/>
      <c r="E22" s="211"/>
      <c r="F22" s="211"/>
      <c r="G22" s="211"/>
    </row>
    <row r="23" spans="1:7" s="48" customFormat="1" x14ac:dyDescent="0.2">
      <c r="A23" s="47" t="s">
        <v>265</v>
      </c>
      <c r="B23" s="60">
        <v>0</v>
      </c>
      <c r="C23" s="56">
        <f t="shared" si="0"/>
        <v>0</v>
      </c>
      <c r="D23" s="211"/>
      <c r="E23" s="211"/>
      <c r="F23" s="211"/>
      <c r="G23" s="211"/>
    </row>
    <row r="24" spans="1:7" s="48" customFormat="1" ht="15" x14ac:dyDescent="0.25">
      <c r="A24" s="57" t="s">
        <v>74</v>
      </c>
      <c r="B24" s="58">
        <f>SUM(B23)</f>
        <v>0</v>
      </c>
      <c r="C24" s="59">
        <f t="shared" si="0"/>
        <v>0</v>
      </c>
      <c r="D24" s="211"/>
      <c r="E24" s="211"/>
      <c r="F24" s="211"/>
      <c r="G24" s="211"/>
    </row>
    <row r="25" spans="1:7" s="48" customFormat="1" ht="15" x14ac:dyDescent="0.25">
      <c r="A25" s="55" t="s">
        <v>75</v>
      </c>
      <c r="B25" s="195" t="s">
        <v>266</v>
      </c>
      <c r="C25" s="193" t="s">
        <v>266</v>
      </c>
      <c r="D25" s="211"/>
      <c r="E25" s="211"/>
      <c r="F25" s="211"/>
      <c r="G25" s="211"/>
    </row>
    <row r="26" spans="1:7" s="48" customFormat="1" x14ac:dyDescent="0.2">
      <c r="A26" s="47" t="s">
        <v>76</v>
      </c>
      <c r="B26" s="60">
        <v>0</v>
      </c>
      <c r="C26" s="56">
        <f t="shared" si="0"/>
        <v>0</v>
      </c>
      <c r="D26" s="211"/>
      <c r="E26" s="211"/>
      <c r="F26" s="211"/>
      <c r="G26" s="211"/>
    </row>
    <row r="27" spans="1:7" s="48" customFormat="1" x14ac:dyDescent="0.2">
      <c r="A27" s="47" t="s">
        <v>77</v>
      </c>
      <c r="B27" s="60">
        <v>0</v>
      </c>
      <c r="C27" s="56">
        <f t="shared" si="0"/>
        <v>0</v>
      </c>
      <c r="D27" s="211"/>
      <c r="E27" s="211"/>
      <c r="F27" s="211"/>
      <c r="G27" s="211"/>
    </row>
    <row r="28" spans="1:7" s="48" customFormat="1" x14ac:dyDescent="0.2">
      <c r="A28" s="47" t="s">
        <v>71</v>
      </c>
      <c r="B28" s="60">
        <v>0</v>
      </c>
      <c r="C28" s="56">
        <f t="shared" si="0"/>
        <v>0</v>
      </c>
      <c r="D28" s="211"/>
      <c r="E28" s="211"/>
      <c r="F28" s="211"/>
      <c r="G28" s="211"/>
    </row>
    <row r="29" spans="1:7" s="48" customFormat="1" ht="15" x14ac:dyDescent="0.25">
      <c r="A29" s="57" t="s">
        <v>78</v>
      </c>
      <c r="B29" s="58">
        <f>SUM(B26:B28)</f>
        <v>0</v>
      </c>
      <c r="C29" s="59">
        <f t="shared" si="0"/>
        <v>0</v>
      </c>
      <c r="D29" s="211"/>
      <c r="E29" s="211"/>
      <c r="F29" s="211"/>
      <c r="G29" s="211"/>
    </row>
    <row r="30" spans="1:7" s="48" customFormat="1" ht="15" x14ac:dyDescent="0.25">
      <c r="A30" s="55" t="s">
        <v>79</v>
      </c>
      <c r="B30" s="195" t="s">
        <v>266</v>
      </c>
      <c r="C30" s="193" t="s">
        <v>266</v>
      </c>
      <c r="D30" s="211"/>
      <c r="E30" s="211"/>
      <c r="F30" s="211"/>
      <c r="G30" s="211"/>
    </row>
    <row r="31" spans="1:7" s="48" customFormat="1" x14ac:dyDescent="0.2">
      <c r="A31" s="47" t="s">
        <v>76</v>
      </c>
      <c r="B31" s="60">
        <v>0</v>
      </c>
      <c r="C31" s="56">
        <f t="shared" si="0"/>
        <v>0</v>
      </c>
      <c r="D31" s="211"/>
      <c r="E31" s="211"/>
      <c r="F31" s="211"/>
      <c r="G31" s="211"/>
    </row>
    <row r="32" spans="1:7" s="48" customFormat="1" x14ac:dyDescent="0.2">
      <c r="A32" s="47" t="s">
        <v>71</v>
      </c>
      <c r="B32" s="60">
        <v>0</v>
      </c>
      <c r="C32" s="56">
        <f t="shared" si="0"/>
        <v>0</v>
      </c>
      <c r="D32" s="211"/>
      <c r="E32" s="211"/>
      <c r="F32" s="211"/>
      <c r="G32" s="211"/>
    </row>
    <row r="33" spans="1:7" s="48" customFormat="1" ht="15" x14ac:dyDescent="0.25">
      <c r="A33" s="57" t="s">
        <v>80</v>
      </c>
      <c r="B33" s="58">
        <f>SUM(B31:B32)</f>
        <v>0</v>
      </c>
      <c r="C33" s="59">
        <f t="shared" si="0"/>
        <v>0</v>
      </c>
      <c r="D33" s="211"/>
      <c r="E33" s="211"/>
      <c r="F33" s="211"/>
      <c r="G33" s="211"/>
    </row>
    <row r="34" spans="1:7" s="48" customFormat="1" ht="15" x14ac:dyDescent="0.25">
      <c r="A34" s="55" t="s">
        <v>81</v>
      </c>
      <c r="B34" s="195" t="s">
        <v>266</v>
      </c>
      <c r="C34" s="193" t="s">
        <v>266</v>
      </c>
      <c r="D34" s="211"/>
      <c r="E34" s="211"/>
      <c r="F34" s="211"/>
      <c r="G34" s="211"/>
    </row>
    <row r="35" spans="1:7" s="48" customFormat="1" x14ac:dyDescent="0.2">
      <c r="A35" s="47" t="s">
        <v>76</v>
      </c>
      <c r="B35" s="60">
        <v>0</v>
      </c>
      <c r="C35" s="56">
        <f t="shared" si="0"/>
        <v>0</v>
      </c>
      <c r="D35" s="211"/>
      <c r="E35" s="211"/>
      <c r="F35" s="211"/>
      <c r="G35" s="211"/>
    </row>
    <row r="36" spans="1:7" s="48" customFormat="1" x14ac:dyDescent="0.2">
      <c r="A36" s="47" t="s">
        <v>71</v>
      </c>
      <c r="B36" s="60">
        <v>0</v>
      </c>
      <c r="C36" s="56">
        <f t="shared" si="0"/>
        <v>0</v>
      </c>
      <c r="D36" s="211"/>
      <c r="E36" s="211"/>
      <c r="F36" s="211"/>
      <c r="G36" s="211"/>
    </row>
    <row r="37" spans="1:7" s="48" customFormat="1" ht="15" x14ac:dyDescent="0.25">
      <c r="A37" s="57" t="s">
        <v>82</v>
      </c>
      <c r="B37" s="58">
        <f>SUM(B35:B36)</f>
        <v>0</v>
      </c>
      <c r="C37" s="59">
        <f t="shared" si="0"/>
        <v>0</v>
      </c>
      <c r="D37" s="211"/>
      <c r="E37" s="211"/>
      <c r="F37" s="211"/>
      <c r="G37" s="211"/>
    </row>
    <row r="38" spans="1:7" s="48" customFormat="1" ht="15" x14ac:dyDescent="0.25">
      <c r="A38" s="55" t="s">
        <v>83</v>
      </c>
      <c r="B38" s="150">
        <f>SUM(B11,B21,B24,B29,B33,B37)</f>
        <v>14.389999999999999</v>
      </c>
      <c r="C38" s="66">
        <f t="shared" si="0"/>
        <v>2.0832874212527191E-4</v>
      </c>
      <c r="D38" s="211"/>
      <c r="E38" s="211"/>
      <c r="F38" s="211"/>
      <c r="G38" s="211"/>
    </row>
    <row r="39" spans="1:7" s="48" customFormat="1" ht="15" x14ac:dyDescent="0.25">
      <c r="A39" s="55" t="s">
        <v>30</v>
      </c>
      <c r="B39" s="156">
        <f>[1]גיליון1!$F$14/1000</f>
        <v>69073.522228378002</v>
      </c>
      <c r="C39" s="66">
        <f t="shared" si="0"/>
        <v>1</v>
      </c>
      <c r="D39" s="211"/>
      <c r="E39" s="211"/>
      <c r="F39" s="211"/>
      <c r="G39" s="211"/>
    </row>
    <row r="40" spans="1:7" s="48" customFormat="1" ht="15" x14ac:dyDescent="0.25">
      <c r="A40" s="212" t="s">
        <v>84</v>
      </c>
      <c r="B40" s="212"/>
      <c r="C40" s="212"/>
      <c r="D40" s="212"/>
      <c r="E40" s="212"/>
      <c r="F40" s="212"/>
      <c r="G40" s="212"/>
    </row>
    <row r="41" spans="1:7" ht="15" x14ac:dyDescent="0.25">
      <c r="A41" s="213" t="s">
        <v>267</v>
      </c>
      <c r="B41" s="213"/>
      <c r="C41" s="213"/>
      <c r="D41" s="213"/>
      <c r="E41" s="213"/>
      <c r="F41" s="213"/>
      <c r="G41" s="213"/>
    </row>
  </sheetData>
  <mergeCells count="4">
    <mergeCell ref="A1:G1"/>
    <mergeCell ref="D3:G39"/>
    <mergeCell ref="A40:G40"/>
    <mergeCell ref="A41:G41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41"/>
  <sheetViews>
    <sheetView rightToLeft="1" topLeftCell="A16" zoomScale="80" zoomScaleNormal="80" workbookViewId="0">
      <selection activeCell="A42" sqref="A42"/>
    </sheetView>
  </sheetViews>
  <sheetFormatPr defaultRowHeight="14.25" x14ac:dyDescent="0.2"/>
  <cols>
    <col min="1" max="1" width="55.375" bestFit="1" customWidth="1"/>
    <col min="2" max="2" width="11.375" bestFit="1" customWidth="1"/>
    <col min="3" max="3" width="12.5" customWidth="1"/>
    <col min="255" max="255" width="10.75" bestFit="1" customWidth="1"/>
    <col min="256" max="256" width="9" bestFit="1" customWidth="1"/>
    <col min="257" max="257" width="55.375" bestFit="1" customWidth="1"/>
    <col min="258" max="258" width="10" bestFit="1" customWidth="1"/>
    <col min="259" max="259" width="11.875" bestFit="1" customWidth="1"/>
    <col min="511" max="511" width="10.75" bestFit="1" customWidth="1"/>
    <col min="512" max="512" width="9" bestFit="1" customWidth="1"/>
    <col min="513" max="513" width="55.375" bestFit="1" customWidth="1"/>
    <col min="514" max="514" width="10" bestFit="1" customWidth="1"/>
    <col min="515" max="515" width="11.875" bestFit="1" customWidth="1"/>
    <col min="767" max="767" width="10.75" bestFit="1" customWidth="1"/>
    <col min="768" max="768" width="9" bestFit="1" customWidth="1"/>
    <col min="769" max="769" width="55.375" bestFit="1" customWidth="1"/>
    <col min="770" max="770" width="10" bestFit="1" customWidth="1"/>
    <col min="771" max="771" width="11.875" bestFit="1" customWidth="1"/>
    <col min="1023" max="1023" width="10.75" bestFit="1" customWidth="1"/>
    <col min="1024" max="1024" width="9" bestFit="1" customWidth="1"/>
    <col min="1025" max="1025" width="55.375" bestFit="1" customWidth="1"/>
    <col min="1026" max="1026" width="10" bestFit="1" customWidth="1"/>
    <col min="1027" max="1027" width="11.875" bestFit="1" customWidth="1"/>
    <col min="1279" max="1279" width="10.75" bestFit="1" customWidth="1"/>
    <col min="1280" max="1280" width="9" bestFit="1" customWidth="1"/>
    <col min="1281" max="1281" width="55.375" bestFit="1" customWidth="1"/>
    <col min="1282" max="1282" width="10" bestFit="1" customWidth="1"/>
    <col min="1283" max="1283" width="11.875" bestFit="1" customWidth="1"/>
    <col min="1535" max="1535" width="10.75" bestFit="1" customWidth="1"/>
    <col min="1536" max="1536" width="9" bestFit="1" customWidth="1"/>
    <col min="1537" max="1537" width="55.375" bestFit="1" customWidth="1"/>
    <col min="1538" max="1538" width="10" bestFit="1" customWidth="1"/>
    <col min="1539" max="1539" width="11.875" bestFit="1" customWidth="1"/>
    <col min="1791" max="1791" width="10.75" bestFit="1" customWidth="1"/>
    <col min="1792" max="1792" width="9" bestFit="1" customWidth="1"/>
    <col min="1793" max="1793" width="55.375" bestFit="1" customWidth="1"/>
    <col min="1794" max="1794" width="10" bestFit="1" customWidth="1"/>
    <col min="1795" max="1795" width="11.875" bestFit="1" customWidth="1"/>
    <col min="2047" max="2047" width="10.75" bestFit="1" customWidth="1"/>
    <col min="2048" max="2048" width="9" bestFit="1" customWidth="1"/>
    <col min="2049" max="2049" width="55.375" bestFit="1" customWidth="1"/>
    <col min="2050" max="2050" width="10" bestFit="1" customWidth="1"/>
    <col min="2051" max="2051" width="11.875" bestFit="1" customWidth="1"/>
    <col min="2303" max="2303" width="10.75" bestFit="1" customWidth="1"/>
    <col min="2304" max="2304" width="9" bestFit="1" customWidth="1"/>
    <col min="2305" max="2305" width="55.375" bestFit="1" customWidth="1"/>
    <col min="2306" max="2306" width="10" bestFit="1" customWidth="1"/>
    <col min="2307" max="2307" width="11.875" bestFit="1" customWidth="1"/>
    <col min="2559" max="2559" width="10.75" bestFit="1" customWidth="1"/>
    <col min="2560" max="2560" width="9" bestFit="1" customWidth="1"/>
    <col min="2561" max="2561" width="55.375" bestFit="1" customWidth="1"/>
    <col min="2562" max="2562" width="10" bestFit="1" customWidth="1"/>
    <col min="2563" max="2563" width="11.875" bestFit="1" customWidth="1"/>
    <col min="2815" max="2815" width="10.75" bestFit="1" customWidth="1"/>
    <col min="2816" max="2816" width="9" bestFit="1" customWidth="1"/>
    <col min="2817" max="2817" width="55.375" bestFit="1" customWidth="1"/>
    <col min="2818" max="2818" width="10" bestFit="1" customWidth="1"/>
    <col min="2819" max="2819" width="11.875" bestFit="1" customWidth="1"/>
    <col min="3071" max="3071" width="10.75" bestFit="1" customWidth="1"/>
    <col min="3072" max="3072" width="9" bestFit="1" customWidth="1"/>
    <col min="3073" max="3073" width="55.375" bestFit="1" customWidth="1"/>
    <col min="3074" max="3074" width="10" bestFit="1" customWidth="1"/>
    <col min="3075" max="3075" width="11.875" bestFit="1" customWidth="1"/>
    <col min="3327" max="3327" width="10.75" bestFit="1" customWidth="1"/>
    <col min="3328" max="3328" width="9" bestFit="1" customWidth="1"/>
    <col min="3329" max="3329" width="55.375" bestFit="1" customWidth="1"/>
    <col min="3330" max="3330" width="10" bestFit="1" customWidth="1"/>
    <col min="3331" max="3331" width="11.875" bestFit="1" customWidth="1"/>
    <col min="3583" max="3583" width="10.75" bestFit="1" customWidth="1"/>
    <col min="3584" max="3584" width="9" bestFit="1" customWidth="1"/>
    <col min="3585" max="3585" width="55.375" bestFit="1" customWidth="1"/>
    <col min="3586" max="3586" width="10" bestFit="1" customWidth="1"/>
    <col min="3587" max="3587" width="11.875" bestFit="1" customWidth="1"/>
    <col min="3839" max="3839" width="10.75" bestFit="1" customWidth="1"/>
    <col min="3840" max="3840" width="9" bestFit="1" customWidth="1"/>
    <col min="3841" max="3841" width="55.375" bestFit="1" customWidth="1"/>
    <col min="3842" max="3842" width="10" bestFit="1" customWidth="1"/>
    <col min="3843" max="3843" width="11.875" bestFit="1" customWidth="1"/>
    <col min="4095" max="4095" width="10.75" bestFit="1" customWidth="1"/>
    <col min="4096" max="4096" width="9" bestFit="1" customWidth="1"/>
    <col min="4097" max="4097" width="55.375" bestFit="1" customWidth="1"/>
    <col min="4098" max="4098" width="10" bestFit="1" customWidth="1"/>
    <col min="4099" max="4099" width="11.875" bestFit="1" customWidth="1"/>
    <col min="4351" max="4351" width="10.75" bestFit="1" customWidth="1"/>
    <col min="4352" max="4352" width="9" bestFit="1" customWidth="1"/>
    <col min="4353" max="4353" width="55.375" bestFit="1" customWidth="1"/>
    <col min="4354" max="4354" width="10" bestFit="1" customWidth="1"/>
    <col min="4355" max="4355" width="11.875" bestFit="1" customWidth="1"/>
    <col min="4607" max="4607" width="10.75" bestFit="1" customWidth="1"/>
    <col min="4608" max="4608" width="9" bestFit="1" customWidth="1"/>
    <col min="4609" max="4609" width="55.375" bestFit="1" customWidth="1"/>
    <col min="4610" max="4610" width="10" bestFit="1" customWidth="1"/>
    <col min="4611" max="4611" width="11.875" bestFit="1" customWidth="1"/>
    <col min="4863" max="4863" width="10.75" bestFit="1" customWidth="1"/>
    <col min="4864" max="4864" width="9" bestFit="1" customWidth="1"/>
    <col min="4865" max="4865" width="55.375" bestFit="1" customWidth="1"/>
    <col min="4866" max="4866" width="10" bestFit="1" customWidth="1"/>
    <col min="4867" max="4867" width="11.875" bestFit="1" customWidth="1"/>
    <col min="5119" max="5119" width="10.75" bestFit="1" customWidth="1"/>
    <col min="5120" max="5120" width="9" bestFit="1" customWidth="1"/>
    <col min="5121" max="5121" width="55.375" bestFit="1" customWidth="1"/>
    <col min="5122" max="5122" width="10" bestFit="1" customWidth="1"/>
    <col min="5123" max="5123" width="11.875" bestFit="1" customWidth="1"/>
    <col min="5375" max="5375" width="10.75" bestFit="1" customWidth="1"/>
    <col min="5376" max="5376" width="9" bestFit="1" customWidth="1"/>
    <col min="5377" max="5377" width="55.375" bestFit="1" customWidth="1"/>
    <col min="5378" max="5378" width="10" bestFit="1" customWidth="1"/>
    <col min="5379" max="5379" width="11.875" bestFit="1" customWidth="1"/>
    <col min="5631" max="5631" width="10.75" bestFit="1" customWidth="1"/>
    <col min="5632" max="5632" width="9" bestFit="1" customWidth="1"/>
    <col min="5633" max="5633" width="55.375" bestFit="1" customWidth="1"/>
    <col min="5634" max="5634" width="10" bestFit="1" customWidth="1"/>
    <col min="5635" max="5635" width="11.875" bestFit="1" customWidth="1"/>
    <col min="5887" max="5887" width="10.75" bestFit="1" customWidth="1"/>
    <col min="5888" max="5888" width="9" bestFit="1" customWidth="1"/>
    <col min="5889" max="5889" width="55.375" bestFit="1" customWidth="1"/>
    <col min="5890" max="5890" width="10" bestFit="1" customWidth="1"/>
    <col min="5891" max="5891" width="11.875" bestFit="1" customWidth="1"/>
    <col min="6143" max="6143" width="10.75" bestFit="1" customWidth="1"/>
    <col min="6144" max="6144" width="9" bestFit="1" customWidth="1"/>
    <col min="6145" max="6145" width="55.375" bestFit="1" customWidth="1"/>
    <col min="6146" max="6146" width="10" bestFit="1" customWidth="1"/>
    <col min="6147" max="6147" width="11.875" bestFit="1" customWidth="1"/>
    <col min="6399" max="6399" width="10.75" bestFit="1" customWidth="1"/>
    <col min="6400" max="6400" width="9" bestFit="1" customWidth="1"/>
    <col min="6401" max="6401" width="55.375" bestFit="1" customWidth="1"/>
    <col min="6402" max="6402" width="10" bestFit="1" customWidth="1"/>
    <col min="6403" max="6403" width="11.875" bestFit="1" customWidth="1"/>
    <col min="6655" max="6655" width="10.75" bestFit="1" customWidth="1"/>
    <col min="6656" max="6656" width="9" bestFit="1" customWidth="1"/>
    <col min="6657" max="6657" width="55.375" bestFit="1" customWidth="1"/>
    <col min="6658" max="6658" width="10" bestFit="1" customWidth="1"/>
    <col min="6659" max="6659" width="11.875" bestFit="1" customWidth="1"/>
    <col min="6911" max="6911" width="10.75" bestFit="1" customWidth="1"/>
    <col min="6912" max="6912" width="9" bestFit="1" customWidth="1"/>
    <col min="6913" max="6913" width="55.375" bestFit="1" customWidth="1"/>
    <col min="6914" max="6914" width="10" bestFit="1" customWidth="1"/>
    <col min="6915" max="6915" width="11.875" bestFit="1" customWidth="1"/>
    <col min="7167" max="7167" width="10.75" bestFit="1" customWidth="1"/>
    <col min="7168" max="7168" width="9" bestFit="1" customWidth="1"/>
    <col min="7169" max="7169" width="55.375" bestFit="1" customWidth="1"/>
    <col min="7170" max="7170" width="10" bestFit="1" customWidth="1"/>
    <col min="7171" max="7171" width="11.875" bestFit="1" customWidth="1"/>
    <col min="7423" max="7423" width="10.75" bestFit="1" customWidth="1"/>
    <col min="7424" max="7424" width="9" bestFit="1" customWidth="1"/>
    <col min="7425" max="7425" width="55.375" bestFit="1" customWidth="1"/>
    <col min="7426" max="7426" width="10" bestFit="1" customWidth="1"/>
    <col min="7427" max="7427" width="11.875" bestFit="1" customWidth="1"/>
    <col min="7679" max="7679" width="10.75" bestFit="1" customWidth="1"/>
    <col min="7680" max="7680" width="9" bestFit="1" customWidth="1"/>
    <col min="7681" max="7681" width="55.375" bestFit="1" customWidth="1"/>
    <col min="7682" max="7682" width="10" bestFit="1" customWidth="1"/>
    <col min="7683" max="7683" width="11.875" bestFit="1" customWidth="1"/>
    <col min="7935" max="7935" width="10.75" bestFit="1" customWidth="1"/>
    <col min="7936" max="7936" width="9" bestFit="1" customWidth="1"/>
    <col min="7937" max="7937" width="55.375" bestFit="1" customWidth="1"/>
    <col min="7938" max="7938" width="10" bestFit="1" customWidth="1"/>
    <col min="7939" max="7939" width="11.875" bestFit="1" customWidth="1"/>
    <col min="8191" max="8191" width="10.75" bestFit="1" customWidth="1"/>
    <col min="8192" max="8192" width="9" bestFit="1" customWidth="1"/>
    <col min="8193" max="8193" width="55.375" bestFit="1" customWidth="1"/>
    <col min="8194" max="8194" width="10" bestFit="1" customWidth="1"/>
    <col min="8195" max="8195" width="11.875" bestFit="1" customWidth="1"/>
    <col min="8447" max="8447" width="10.75" bestFit="1" customWidth="1"/>
    <col min="8448" max="8448" width="9" bestFit="1" customWidth="1"/>
    <col min="8449" max="8449" width="55.375" bestFit="1" customWidth="1"/>
    <col min="8450" max="8450" width="10" bestFit="1" customWidth="1"/>
    <col min="8451" max="8451" width="11.875" bestFit="1" customWidth="1"/>
    <col min="8703" max="8703" width="10.75" bestFit="1" customWidth="1"/>
    <col min="8704" max="8704" width="9" bestFit="1" customWidth="1"/>
    <col min="8705" max="8705" width="55.375" bestFit="1" customWidth="1"/>
    <col min="8706" max="8706" width="10" bestFit="1" customWidth="1"/>
    <col min="8707" max="8707" width="11.875" bestFit="1" customWidth="1"/>
    <col min="8959" max="8959" width="10.75" bestFit="1" customWidth="1"/>
    <col min="8960" max="8960" width="9" bestFit="1" customWidth="1"/>
    <col min="8961" max="8961" width="55.375" bestFit="1" customWidth="1"/>
    <col min="8962" max="8962" width="10" bestFit="1" customWidth="1"/>
    <col min="8963" max="8963" width="11.875" bestFit="1" customWidth="1"/>
    <col min="9215" max="9215" width="10.75" bestFit="1" customWidth="1"/>
    <col min="9216" max="9216" width="9" bestFit="1" customWidth="1"/>
    <col min="9217" max="9217" width="55.375" bestFit="1" customWidth="1"/>
    <col min="9218" max="9218" width="10" bestFit="1" customWidth="1"/>
    <col min="9219" max="9219" width="11.875" bestFit="1" customWidth="1"/>
    <col min="9471" max="9471" width="10.75" bestFit="1" customWidth="1"/>
    <col min="9472" max="9472" width="9" bestFit="1" customWidth="1"/>
    <col min="9473" max="9473" width="55.375" bestFit="1" customWidth="1"/>
    <col min="9474" max="9474" width="10" bestFit="1" customWidth="1"/>
    <col min="9475" max="9475" width="11.875" bestFit="1" customWidth="1"/>
    <col min="9727" max="9727" width="10.75" bestFit="1" customWidth="1"/>
    <col min="9728" max="9728" width="9" bestFit="1" customWidth="1"/>
    <col min="9729" max="9729" width="55.375" bestFit="1" customWidth="1"/>
    <col min="9730" max="9730" width="10" bestFit="1" customWidth="1"/>
    <col min="9731" max="9731" width="11.875" bestFit="1" customWidth="1"/>
    <col min="9983" max="9983" width="10.75" bestFit="1" customWidth="1"/>
    <col min="9984" max="9984" width="9" bestFit="1" customWidth="1"/>
    <col min="9985" max="9985" width="55.375" bestFit="1" customWidth="1"/>
    <col min="9986" max="9986" width="10" bestFit="1" customWidth="1"/>
    <col min="9987" max="9987" width="11.875" bestFit="1" customWidth="1"/>
    <col min="10239" max="10239" width="10.75" bestFit="1" customWidth="1"/>
    <col min="10240" max="10240" width="9" bestFit="1" customWidth="1"/>
    <col min="10241" max="10241" width="55.375" bestFit="1" customWidth="1"/>
    <col min="10242" max="10242" width="10" bestFit="1" customWidth="1"/>
    <col min="10243" max="10243" width="11.875" bestFit="1" customWidth="1"/>
    <col min="10495" max="10495" width="10.75" bestFit="1" customWidth="1"/>
    <col min="10496" max="10496" width="9" bestFit="1" customWidth="1"/>
    <col min="10497" max="10497" width="55.375" bestFit="1" customWidth="1"/>
    <col min="10498" max="10498" width="10" bestFit="1" customWidth="1"/>
    <col min="10499" max="10499" width="11.875" bestFit="1" customWidth="1"/>
    <col min="10751" max="10751" width="10.75" bestFit="1" customWidth="1"/>
    <col min="10752" max="10752" width="9" bestFit="1" customWidth="1"/>
    <col min="10753" max="10753" width="55.375" bestFit="1" customWidth="1"/>
    <col min="10754" max="10754" width="10" bestFit="1" customWidth="1"/>
    <col min="10755" max="10755" width="11.875" bestFit="1" customWidth="1"/>
    <col min="11007" max="11007" width="10.75" bestFit="1" customWidth="1"/>
    <col min="11008" max="11008" width="9" bestFit="1" customWidth="1"/>
    <col min="11009" max="11009" width="55.375" bestFit="1" customWidth="1"/>
    <col min="11010" max="11010" width="10" bestFit="1" customWidth="1"/>
    <col min="11011" max="11011" width="11.875" bestFit="1" customWidth="1"/>
    <col min="11263" max="11263" width="10.75" bestFit="1" customWidth="1"/>
    <col min="11264" max="11264" width="9" bestFit="1" customWidth="1"/>
    <col min="11265" max="11265" width="55.375" bestFit="1" customWidth="1"/>
    <col min="11266" max="11266" width="10" bestFit="1" customWidth="1"/>
    <col min="11267" max="11267" width="11.875" bestFit="1" customWidth="1"/>
    <col min="11519" max="11519" width="10.75" bestFit="1" customWidth="1"/>
    <col min="11520" max="11520" width="9" bestFit="1" customWidth="1"/>
    <col min="11521" max="11521" width="55.375" bestFit="1" customWidth="1"/>
    <col min="11522" max="11522" width="10" bestFit="1" customWidth="1"/>
    <col min="11523" max="11523" width="11.875" bestFit="1" customWidth="1"/>
    <col min="11775" max="11775" width="10.75" bestFit="1" customWidth="1"/>
    <col min="11776" max="11776" width="9" bestFit="1" customWidth="1"/>
    <col min="11777" max="11777" width="55.375" bestFit="1" customWidth="1"/>
    <col min="11778" max="11778" width="10" bestFit="1" customWidth="1"/>
    <col min="11779" max="11779" width="11.875" bestFit="1" customWidth="1"/>
    <col min="12031" max="12031" width="10.75" bestFit="1" customWidth="1"/>
    <col min="12032" max="12032" width="9" bestFit="1" customWidth="1"/>
    <col min="12033" max="12033" width="55.375" bestFit="1" customWidth="1"/>
    <col min="12034" max="12034" width="10" bestFit="1" customWidth="1"/>
    <col min="12035" max="12035" width="11.875" bestFit="1" customWidth="1"/>
    <col min="12287" max="12287" width="10.75" bestFit="1" customWidth="1"/>
    <col min="12288" max="12288" width="9" bestFit="1" customWidth="1"/>
    <col min="12289" max="12289" width="55.375" bestFit="1" customWidth="1"/>
    <col min="12290" max="12290" width="10" bestFit="1" customWidth="1"/>
    <col min="12291" max="12291" width="11.875" bestFit="1" customWidth="1"/>
    <col min="12543" max="12543" width="10.75" bestFit="1" customWidth="1"/>
    <col min="12544" max="12544" width="9" bestFit="1" customWidth="1"/>
    <col min="12545" max="12545" width="55.375" bestFit="1" customWidth="1"/>
    <col min="12546" max="12546" width="10" bestFit="1" customWidth="1"/>
    <col min="12547" max="12547" width="11.875" bestFit="1" customWidth="1"/>
    <col min="12799" max="12799" width="10.75" bestFit="1" customWidth="1"/>
    <col min="12800" max="12800" width="9" bestFit="1" customWidth="1"/>
    <col min="12801" max="12801" width="55.375" bestFit="1" customWidth="1"/>
    <col min="12802" max="12802" width="10" bestFit="1" customWidth="1"/>
    <col min="12803" max="12803" width="11.875" bestFit="1" customWidth="1"/>
    <col min="13055" max="13055" width="10.75" bestFit="1" customWidth="1"/>
    <col min="13056" max="13056" width="9" bestFit="1" customWidth="1"/>
    <col min="13057" max="13057" width="55.375" bestFit="1" customWidth="1"/>
    <col min="13058" max="13058" width="10" bestFit="1" customWidth="1"/>
    <col min="13059" max="13059" width="11.875" bestFit="1" customWidth="1"/>
    <col min="13311" max="13311" width="10.75" bestFit="1" customWidth="1"/>
    <col min="13312" max="13312" width="9" bestFit="1" customWidth="1"/>
    <col min="13313" max="13313" width="55.375" bestFit="1" customWidth="1"/>
    <col min="13314" max="13314" width="10" bestFit="1" customWidth="1"/>
    <col min="13315" max="13315" width="11.875" bestFit="1" customWidth="1"/>
    <col min="13567" max="13567" width="10.75" bestFit="1" customWidth="1"/>
    <col min="13568" max="13568" width="9" bestFit="1" customWidth="1"/>
    <col min="13569" max="13569" width="55.375" bestFit="1" customWidth="1"/>
    <col min="13570" max="13570" width="10" bestFit="1" customWidth="1"/>
    <col min="13571" max="13571" width="11.875" bestFit="1" customWidth="1"/>
    <col min="13823" max="13823" width="10.75" bestFit="1" customWidth="1"/>
    <col min="13824" max="13824" width="9" bestFit="1" customWidth="1"/>
    <col min="13825" max="13825" width="55.375" bestFit="1" customWidth="1"/>
    <col min="13826" max="13826" width="10" bestFit="1" customWidth="1"/>
    <col min="13827" max="13827" width="11.875" bestFit="1" customWidth="1"/>
    <col min="14079" max="14079" width="10.75" bestFit="1" customWidth="1"/>
    <col min="14080" max="14080" width="9" bestFit="1" customWidth="1"/>
    <col min="14081" max="14081" width="55.375" bestFit="1" customWidth="1"/>
    <col min="14082" max="14082" width="10" bestFit="1" customWidth="1"/>
    <col min="14083" max="14083" width="11.875" bestFit="1" customWidth="1"/>
    <col min="14335" max="14335" width="10.75" bestFit="1" customWidth="1"/>
    <col min="14336" max="14336" width="9" bestFit="1" customWidth="1"/>
    <col min="14337" max="14337" width="55.375" bestFit="1" customWidth="1"/>
    <col min="14338" max="14338" width="10" bestFit="1" customWidth="1"/>
    <col min="14339" max="14339" width="11.875" bestFit="1" customWidth="1"/>
    <col min="14591" max="14591" width="10.75" bestFit="1" customWidth="1"/>
    <col min="14592" max="14592" width="9" bestFit="1" customWidth="1"/>
    <col min="14593" max="14593" width="55.375" bestFit="1" customWidth="1"/>
    <col min="14594" max="14594" width="10" bestFit="1" customWidth="1"/>
    <col min="14595" max="14595" width="11.875" bestFit="1" customWidth="1"/>
    <col min="14847" max="14847" width="10.75" bestFit="1" customWidth="1"/>
    <col min="14848" max="14848" width="9" bestFit="1" customWidth="1"/>
    <col min="14849" max="14849" width="55.375" bestFit="1" customWidth="1"/>
    <col min="14850" max="14850" width="10" bestFit="1" customWidth="1"/>
    <col min="14851" max="14851" width="11.875" bestFit="1" customWidth="1"/>
    <col min="15103" max="15103" width="10.75" bestFit="1" customWidth="1"/>
    <col min="15104" max="15104" width="9" bestFit="1" customWidth="1"/>
    <col min="15105" max="15105" width="55.375" bestFit="1" customWidth="1"/>
    <col min="15106" max="15106" width="10" bestFit="1" customWidth="1"/>
    <col min="15107" max="15107" width="11.875" bestFit="1" customWidth="1"/>
    <col min="15359" max="15359" width="10.75" bestFit="1" customWidth="1"/>
    <col min="15360" max="15360" width="9" bestFit="1" customWidth="1"/>
    <col min="15361" max="15361" width="55.375" bestFit="1" customWidth="1"/>
    <col min="15362" max="15362" width="10" bestFit="1" customWidth="1"/>
    <col min="15363" max="15363" width="11.875" bestFit="1" customWidth="1"/>
    <col min="15615" max="15615" width="10.75" bestFit="1" customWidth="1"/>
    <col min="15616" max="15616" width="9" bestFit="1" customWidth="1"/>
    <col min="15617" max="15617" width="55.375" bestFit="1" customWidth="1"/>
    <col min="15618" max="15618" width="10" bestFit="1" customWidth="1"/>
    <col min="15619" max="15619" width="11.875" bestFit="1" customWidth="1"/>
    <col min="15871" max="15871" width="10.75" bestFit="1" customWidth="1"/>
    <col min="15872" max="15872" width="9" bestFit="1" customWidth="1"/>
    <col min="15873" max="15873" width="55.375" bestFit="1" customWidth="1"/>
    <col min="15874" max="15874" width="10" bestFit="1" customWidth="1"/>
    <col min="15875" max="15875" width="11.875" bestFit="1" customWidth="1"/>
    <col min="16127" max="16127" width="10.75" bestFit="1" customWidth="1"/>
    <col min="16128" max="16128" width="9" bestFit="1" customWidth="1"/>
    <col min="16129" max="16129" width="55.375" bestFit="1" customWidth="1"/>
    <col min="16130" max="16130" width="10" bestFit="1" customWidth="1"/>
    <col min="16131" max="16131" width="11.875" bestFit="1" customWidth="1"/>
  </cols>
  <sheetData>
    <row r="1" spans="1:11" s="176" customFormat="1" ht="30" customHeight="1" x14ac:dyDescent="0.2">
      <c r="A1" s="209" t="s">
        <v>256</v>
      </c>
      <c r="B1" s="209"/>
      <c r="C1" s="209"/>
      <c r="D1" s="209"/>
      <c r="E1" s="209"/>
      <c r="F1" s="209"/>
      <c r="G1" s="209"/>
      <c r="H1" s="201"/>
      <c r="I1" s="201"/>
      <c r="J1" s="201"/>
      <c r="K1" s="201"/>
    </row>
    <row r="2" spans="1:11" hidden="1" x14ac:dyDescent="0.2">
      <c r="A2" s="42"/>
      <c r="B2" s="42"/>
      <c r="C2" s="42"/>
      <c r="D2" s="42"/>
      <c r="E2" s="42"/>
      <c r="F2" s="42"/>
      <c r="G2" s="42"/>
      <c r="H2" s="42"/>
      <c r="I2" s="42"/>
    </row>
    <row r="3" spans="1:11" x14ac:dyDescent="0.2">
      <c r="A3" t="s">
        <v>1</v>
      </c>
      <c r="B3" t="s">
        <v>2</v>
      </c>
      <c r="C3" t="s">
        <v>3</v>
      </c>
      <c r="D3" s="214" t="s">
        <v>266</v>
      </c>
      <c r="E3" s="214"/>
      <c r="F3" s="214"/>
      <c r="G3" s="214"/>
    </row>
    <row r="4" spans="1:11" ht="15" x14ac:dyDescent="0.25">
      <c r="A4" s="40" t="s">
        <v>57</v>
      </c>
      <c r="B4" s="177" t="s">
        <v>266</v>
      </c>
      <c r="C4" s="177" t="s">
        <v>266</v>
      </c>
      <c r="D4" s="214"/>
      <c r="E4" s="214"/>
      <c r="F4" s="214"/>
      <c r="G4" s="214"/>
    </row>
    <row r="5" spans="1:11" ht="15" x14ac:dyDescent="0.25">
      <c r="A5" s="40" t="s">
        <v>58</v>
      </c>
      <c r="B5" s="177" t="s">
        <v>266</v>
      </c>
      <c r="C5" s="177" t="s">
        <v>266</v>
      </c>
      <c r="D5" s="214"/>
      <c r="E5" s="214"/>
      <c r="F5" s="214"/>
      <c r="G5" s="214"/>
    </row>
    <row r="6" spans="1:11" x14ac:dyDescent="0.2">
      <c r="A6" s="42" t="s">
        <v>85</v>
      </c>
      <c r="B6" s="67">
        <v>0</v>
      </c>
      <c r="C6" s="43">
        <f>B6/$B$39</f>
        <v>0</v>
      </c>
      <c r="D6" s="214"/>
      <c r="E6" s="214"/>
      <c r="F6" s="214"/>
      <c r="G6" s="214"/>
    </row>
    <row r="7" spans="1:11" ht="15" x14ac:dyDescent="0.25">
      <c r="A7" s="44" t="s">
        <v>59</v>
      </c>
      <c r="B7" s="68">
        <f>SUM(B6)</f>
        <v>0</v>
      </c>
      <c r="C7" s="4">
        <f>B7/$B$39</f>
        <v>0</v>
      </c>
      <c r="D7" s="214"/>
      <c r="E7" s="214"/>
      <c r="F7" s="214"/>
      <c r="G7" s="214"/>
    </row>
    <row r="8" spans="1:11" ht="15" x14ac:dyDescent="0.25">
      <c r="A8" s="40" t="s">
        <v>60</v>
      </c>
      <c r="B8" s="197" t="s">
        <v>266</v>
      </c>
      <c r="C8" s="192" t="s">
        <v>266</v>
      </c>
      <c r="D8" s="214"/>
      <c r="E8" s="214"/>
      <c r="F8" s="214"/>
      <c r="G8" s="214"/>
    </row>
    <row r="9" spans="1:11" x14ac:dyDescent="0.2">
      <c r="A9" s="160" t="s">
        <v>265</v>
      </c>
      <c r="B9" s="154">
        <v>32.369999999999997</v>
      </c>
      <c r="C9" s="43">
        <f>B9/$B$39</f>
        <v>7.7019048224996915E-4</v>
      </c>
      <c r="D9" s="214"/>
      <c r="E9" s="214"/>
      <c r="F9" s="214"/>
      <c r="G9" s="214"/>
    </row>
    <row r="10" spans="1:11" ht="15" x14ac:dyDescent="0.25">
      <c r="A10" s="44" t="s">
        <v>66</v>
      </c>
      <c r="B10" s="68">
        <f>SUM(B9:B9)</f>
        <v>32.369999999999997</v>
      </c>
      <c r="C10" s="4">
        <f>SUM(C9:C9)</f>
        <v>7.7019048224996915E-4</v>
      </c>
      <c r="D10" s="214"/>
      <c r="E10" s="214"/>
      <c r="F10" s="214"/>
      <c r="G10" s="214"/>
    </row>
    <row r="11" spans="1:11" ht="15" x14ac:dyDescent="0.25">
      <c r="A11" s="49" t="s">
        <v>67</v>
      </c>
      <c r="B11" s="69">
        <f>SUM(B7,B10)</f>
        <v>32.369999999999997</v>
      </c>
      <c r="C11" s="51">
        <f>B11/$B$39</f>
        <v>7.7019048224996915E-4</v>
      </c>
      <c r="D11" s="214"/>
      <c r="E11" s="214"/>
      <c r="F11" s="214"/>
      <c r="G11" s="214"/>
    </row>
    <row r="12" spans="1:11" ht="15" x14ac:dyDescent="0.25">
      <c r="A12" s="40" t="s">
        <v>68</v>
      </c>
      <c r="B12" s="197" t="s">
        <v>266</v>
      </c>
      <c r="C12" s="192" t="s">
        <v>266</v>
      </c>
      <c r="D12" s="214"/>
      <c r="E12" s="214"/>
      <c r="F12" s="214"/>
      <c r="G12" s="214"/>
    </row>
    <row r="13" spans="1:11" ht="15" x14ac:dyDescent="0.25">
      <c r="A13" s="40" t="s">
        <v>58</v>
      </c>
      <c r="B13" s="197" t="s">
        <v>266</v>
      </c>
      <c r="C13" s="192" t="s">
        <v>266</v>
      </c>
      <c r="D13" s="214"/>
      <c r="E13" s="214"/>
      <c r="F13" s="214"/>
      <c r="G13" s="214"/>
    </row>
    <row r="14" spans="1:11" x14ac:dyDescent="0.2">
      <c r="A14" s="42" t="s">
        <v>69</v>
      </c>
      <c r="B14" s="67">
        <v>0</v>
      </c>
      <c r="C14" s="43">
        <f>B14/$B$39</f>
        <v>0</v>
      </c>
      <c r="D14" s="214"/>
      <c r="E14" s="214"/>
      <c r="F14" s="214"/>
      <c r="G14" s="214"/>
    </row>
    <row r="15" spans="1:11" x14ac:dyDescent="0.2">
      <c r="A15" s="42" t="s">
        <v>70</v>
      </c>
      <c r="B15" s="67">
        <v>0</v>
      </c>
      <c r="C15" s="43">
        <f>B15/$B$39</f>
        <v>0</v>
      </c>
      <c r="D15" s="214"/>
      <c r="E15" s="214"/>
      <c r="F15" s="214"/>
      <c r="G15" s="214"/>
    </row>
    <row r="16" spans="1:11" x14ac:dyDescent="0.2">
      <c r="A16" s="42" t="s">
        <v>71</v>
      </c>
      <c r="B16" s="67">
        <v>0</v>
      </c>
      <c r="C16" s="43">
        <f>B16/$B$39</f>
        <v>0</v>
      </c>
      <c r="D16" s="214"/>
      <c r="E16" s="214"/>
      <c r="F16" s="214"/>
      <c r="G16" s="214"/>
    </row>
    <row r="17" spans="1:7" ht="15" x14ac:dyDescent="0.25">
      <c r="A17" s="44" t="s">
        <v>59</v>
      </c>
      <c r="B17" s="68">
        <f>SUM(B14:B16)</f>
        <v>0</v>
      </c>
      <c r="C17" s="4">
        <f>B17/$B$39</f>
        <v>0</v>
      </c>
      <c r="D17" s="214"/>
      <c r="E17" s="214"/>
      <c r="F17" s="214"/>
      <c r="G17" s="214"/>
    </row>
    <row r="18" spans="1:7" ht="15" x14ac:dyDescent="0.25">
      <c r="A18" s="40" t="s">
        <v>60</v>
      </c>
      <c r="B18" s="197" t="s">
        <v>266</v>
      </c>
      <c r="C18" s="192" t="s">
        <v>266</v>
      </c>
      <c r="D18" s="214"/>
      <c r="E18" s="214"/>
      <c r="F18" s="214"/>
      <c r="G18" s="214"/>
    </row>
    <row r="19" spans="1:7" x14ac:dyDescent="0.2">
      <c r="A19" s="42" t="s">
        <v>265</v>
      </c>
      <c r="B19" s="154">
        <v>2.71</v>
      </c>
      <c r="C19" s="43">
        <f>B19/$B$39</f>
        <v>6.4479956963157755E-5</v>
      </c>
      <c r="D19" s="214"/>
      <c r="E19" s="214"/>
      <c r="F19" s="214"/>
      <c r="G19" s="214"/>
    </row>
    <row r="20" spans="1:7" ht="15" x14ac:dyDescent="0.25">
      <c r="A20" s="44" t="s">
        <v>66</v>
      </c>
      <c r="B20" s="68">
        <f>SUM(B19)</f>
        <v>2.71</v>
      </c>
      <c r="C20" s="4">
        <f>SUM(C19)</f>
        <v>6.4479956963157755E-5</v>
      </c>
      <c r="D20" s="214"/>
      <c r="E20" s="214"/>
      <c r="F20" s="214"/>
      <c r="G20" s="214"/>
    </row>
    <row r="21" spans="1:7" ht="15" x14ac:dyDescent="0.25">
      <c r="A21" s="49" t="s">
        <v>72</v>
      </c>
      <c r="B21" s="69">
        <f>SUM(B17,B20)</f>
        <v>2.71</v>
      </c>
      <c r="C21" s="51">
        <f>B21/$B$39</f>
        <v>6.4479956963157755E-5</v>
      </c>
      <c r="D21" s="214"/>
      <c r="E21" s="214"/>
      <c r="F21" s="214"/>
      <c r="G21" s="214"/>
    </row>
    <row r="22" spans="1:7" ht="15" x14ac:dyDescent="0.25">
      <c r="A22" s="40" t="s">
        <v>73</v>
      </c>
      <c r="B22" s="197" t="s">
        <v>266</v>
      </c>
      <c r="C22" s="192" t="s">
        <v>266</v>
      </c>
      <c r="D22" s="214"/>
      <c r="E22" s="214"/>
      <c r="F22" s="214"/>
      <c r="G22" s="214"/>
    </row>
    <row r="23" spans="1:7" x14ac:dyDescent="0.2">
      <c r="A23" s="160" t="s">
        <v>265</v>
      </c>
      <c r="B23" s="67">
        <v>0</v>
      </c>
      <c r="C23" s="43">
        <f>B23/$B$39</f>
        <v>0</v>
      </c>
      <c r="D23" s="214"/>
      <c r="E23" s="214"/>
      <c r="F23" s="214"/>
      <c r="G23" s="214"/>
    </row>
    <row r="24" spans="1:7" ht="15" x14ac:dyDescent="0.25">
      <c r="A24" s="44" t="s">
        <v>74</v>
      </c>
      <c r="B24" s="68">
        <f>SUM(B23)</f>
        <v>0</v>
      </c>
      <c r="C24" s="4">
        <f>B24/$B$39</f>
        <v>0</v>
      </c>
      <c r="D24" s="214"/>
      <c r="E24" s="214"/>
      <c r="F24" s="214"/>
      <c r="G24" s="214"/>
    </row>
    <row r="25" spans="1:7" ht="15" x14ac:dyDescent="0.25">
      <c r="A25" s="40" t="s">
        <v>75</v>
      </c>
      <c r="B25" s="197" t="s">
        <v>266</v>
      </c>
      <c r="C25" s="192" t="s">
        <v>266</v>
      </c>
      <c r="D25" s="214"/>
      <c r="E25" s="214"/>
      <c r="F25" s="214"/>
      <c r="G25" s="214"/>
    </row>
    <row r="26" spans="1:7" x14ac:dyDescent="0.2">
      <c r="A26" s="42" t="s">
        <v>76</v>
      </c>
      <c r="B26" s="67">
        <v>0</v>
      </c>
      <c r="C26" s="43">
        <f>B26/$B$39</f>
        <v>0</v>
      </c>
      <c r="D26" s="214"/>
      <c r="E26" s="214"/>
      <c r="F26" s="214"/>
      <c r="G26" s="214"/>
    </row>
    <row r="27" spans="1:7" x14ac:dyDescent="0.2">
      <c r="A27" s="42" t="s">
        <v>77</v>
      </c>
      <c r="B27" s="67">
        <v>0</v>
      </c>
      <c r="C27" s="43">
        <f>B27/$B$39</f>
        <v>0</v>
      </c>
      <c r="D27" s="214"/>
      <c r="E27" s="214"/>
      <c r="F27" s="214"/>
      <c r="G27" s="214"/>
    </row>
    <row r="28" spans="1:7" x14ac:dyDescent="0.2">
      <c r="A28" s="42" t="s">
        <v>71</v>
      </c>
      <c r="B28" s="67">
        <v>0</v>
      </c>
      <c r="C28" s="43">
        <f>B28/$B$39</f>
        <v>0</v>
      </c>
      <c r="D28" s="214"/>
      <c r="E28" s="214"/>
      <c r="F28" s="214"/>
      <c r="G28" s="214"/>
    </row>
    <row r="29" spans="1:7" ht="15" x14ac:dyDescent="0.25">
      <c r="A29" s="44" t="s">
        <v>78</v>
      </c>
      <c r="B29" s="68">
        <f>SUM(B26:B28)</f>
        <v>0</v>
      </c>
      <c r="C29" s="4">
        <f>B29/$B$39</f>
        <v>0</v>
      </c>
      <c r="D29" s="214"/>
      <c r="E29" s="214"/>
      <c r="F29" s="214"/>
      <c r="G29" s="214"/>
    </row>
    <row r="30" spans="1:7" ht="15" x14ac:dyDescent="0.25">
      <c r="A30" s="40" t="s">
        <v>79</v>
      </c>
      <c r="B30" s="197" t="s">
        <v>266</v>
      </c>
      <c r="C30" s="192" t="s">
        <v>266</v>
      </c>
      <c r="D30" s="214"/>
      <c r="E30" s="214"/>
      <c r="F30" s="214"/>
      <c r="G30" s="214"/>
    </row>
    <row r="31" spans="1:7" x14ac:dyDescent="0.2">
      <c r="A31" s="42" t="s">
        <v>76</v>
      </c>
      <c r="B31" s="67">
        <v>0</v>
      </c>
      <c r="C31" s="43">
        <f>B31/$B$39</f>
        <v>0</v>
      </c>
      <c r="D31" s="214"/>
      <c r="E31" s="214"/>
      <c r="F31" s="214"/>
      <c r="G31" s="214"/>
    </row>
    <row r="32" spans="1:7" x14ac:dyDescent="0.2">
      <c r="A32" s="42" t="s">
        <v>71</v>
      </c>
      <c r="B32" s="67">
        <v>0</v>
      </c>
      <c r="C32" s="43">
        <f>B32/$B$39</f>
        <v>0</v>
      </c>
      <c r="D32" s="214"/>
      <c r="E32" s="214"/>
      <c r="F32" s="214"/>
      <c r="G32" s="214"/>
    </row>
    <row r="33" spans="1:7" ht="15" x14ac:dyDescent="0.25">
      <c r="A33" s="44" t="s">
        <v>80</v>
      </c>
      <c r="B33" s="68">
        <f>SUM(B31:B32)</f>
        <v>0</v>
      </c>
      <c r="C33" s="4">
        <f>B33/$B$39</f>
        <v>0</v>
      </c>
      <c r="D33" s="214"/>
      <c r="E33" s="214"/>
      <c r="F33" s="214"/>
      <c r="G33" s="214"/>
    </row>
    <row r="34" spans="1:7" ht="15" x14ac:dyDescent="0.25">
      <c r="A34" s="40" t="s">
        <v>81</v>
      </c>
      <c r="B34" s="197" t="s">
        <v>266</v>
      </c>
      <c r="C34" s="192" t="s">
        <v>266</v>
      </c>
      <c r="D34" s="214"/>
      <c r="E34" s="214"/>
      <c r="F34" s="214"/>
      <c r="G34" s="214"/>
    </row>
    <row r="35" spans="1:7" x14ac:dyDescent="0.2">
      <c r="A35" s="42" t="s">
        <v>76</v>
      </c>
      <c r="B35" s="67">
        <v>0</v>
      </c>
      <c r="C35" s="43">
        <f>B35/$B$39</f>
        <v>0</v>
      </c>
      <c r="D35" s="214"/>
      <c r="E35" s="214"/>
      <c r="F35" s="214"/>
      <c r="G35" s="214"/>
    </row>
    <row r="36" spans="1:7" x14ac:dyDescent="0.2">
      <c r="A36" s="42" t="s">
        <v>71</v>
      </c>
      <c r="B36" s="67">
        <v>0</v>
      </c>
      <c r="C36" s="43">
        <f>B36/$B$39</f>
        <v>0</v>
      </c>
      <c r="D36" s="214"/>
      <c r="E36" s="214"/>
      <c r="F36" s="214"/>
      <c r="G36" s="214"/>
    </row>
    <row r="37" spans="1:7" ht="15" x14ac:dyDescent="0.25">
      <c r="A37" s="44" t="s">
        <v>82</v>
      </c>
      <c r="B37" s="68">
        <f>SUM(B35:B36)</f>
        <v>0</v>
      </c>
      <c r="C37" s="4">
        <f>B37/$B$39</f>
        <v>0</v>
      </c>
      <c r="D37" s="214"/>
      <c r="E37" s="214"/>
      <c r="F37" s="214"/>
      <c r="G37" s="214"/>
    </row>
    <row r="38" spans="1:7" ht="15" x14ac:dyDescent="0.25">
      <c r="A38" s="40" t="s">
        <v>83</v>
      </c>
      <c r="B38" s="155">
        <f>SUM(B11,B21,B24,B29,B33,B37)</f>
        <v>35.08</v>
      </c>
      <c r="C38" s="7">
        <f>B38/$B$39</f>
        <v>8.3467043921312694E-4</v>
      </c>
      <c r="D38" s="214"/>
      <c r="E38" s="214"/>
      <c r="F38" s="214"/>
      <c r="G38" s="214"/>
    </row>
    <row r="39" spans="1:7" s="54" customFormat="1" ht="15" x14ac:dyDescent="0.25">
      <c r="A39" s="55" t="s">
        <v>30</v>
      </c>
      <c r="B39" s="153">
        <f>[1]גיליון1!$G$14/1000</f>
        <v>42028.5640318964</v>
      </c>
      <c r="C39" s="65">
        <f>B39/$B$39</f>
        <v>1</v>
      </c>
      <c r="D39" s="214"/>
      <c r="E39" s="214"/>
      <c r="F39" s="214"/>
      <c r="G39" s="214"/>
    </row>
    <row r="40" spans="1:7" ht="15" x14ac:dyDescent="0.25">
      <c r="A40" s="212" t="s">
        <v>84</v>
      </c>
      <c r="B40" s="212"/>
      <c r="C40" s="212"/>
      <c r="D40" s="212"/>
      <c r="E40" s="212"/>
      <c r="F40" s="212"/>
      <c r="G40" s="212"/>
    </row>
    <row r="41" spans="1:7" x14ac:dyDescent="0.2">
      <c r="A41" s="206" t="s">
        <v>267</v>
      </c>
      <c r="B41" s="206"/>
      <c r="C41" s="206"/>
      <c r="D41" s="206"/>
      <c r="E41" s="206"/>
      <c r="F41" s="206"/>
      <c r="G41" s="206"/>
    </row>
  </sheetData>
  <mergeCells count="4">
    <mergeCell ref="A1:G1"/>
    <mergeCell ref="D3:G39"/>
    <mergeCell ref="A40:G40"/>
    <mergeCell ref="A41:G4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F228"/>
  <sheetViews>
    <sheetView rightToLeft="1" topLeftCell="A217" zoomScale="90" zoomScaleNormal="90" workbookViewId="0">
      <selection activeCell="A229" sqref="A229"/>
    </sheetView>
  </sheetViews>
  <sheetFormatPr defaultColWidth="9" defaultRowHeight="14.25" x14ac:dyDescent="0.2"/>
  <cols>
    <col min="1" max="1" width="46.375" style="54" bestFit="1" customWidth="1"/>
    <col min="2" max="2" width="17.125" style="54" bestFit="1" customWidth="1"/>
    <col min="3" max="3" width="15" style="54" customWidth="1"/>
    <col min="4" max="4" width="34.75" style="54" customWidth="1"/>
    <col min="5" max="5" width="9" style="54"/>
    <col min="6" max="6" width="10.875" style="73" bestFit="1" customWidth="1"/>
    <col min="7" max="16384" width="9" style="54"/>
  </cols>
  <sheetData>
    <row r="1" spans="1:6" s="48" customFormat="1" ht="15" x14ac:dyDescent="0.25">
      <c r="A1" s="203" t="s">
        <v>86</v>
      </c>
      <c r="B1" s="203"/>
      <c r="C1" s="203"/>
      <c r="F1" s="71"/>
    </row>
    <row r="2" spans="1:6" s="196" customFormat="1" ht="30" customHeight="1" x14ac:dyDescent="0.25">
      <c r="A2" s="204" t="s">
        <v>263</v>
      </c>
      <c r="B2" s="204"/>
      <c r="C2" s="204"/>
      <c r="F2" s="198"/>
    </row>
    <row r="3" spans="1:6" ht="15" hidden="1" x14ac:dyDescent="0.25">
      <c r="A3" s="72"/>
      <c r="B3" s="72"/>
    </row>
    <row r="4" spans="1:6" x14ac:dyDescent="0.2">
      <c r="A4" s="48" t="s">
        <v>1</v>
      </c>
      <c r="B4" s="48" t="s">
        <v>2</v>
      </c>
      <c r="C4" s="48" t="s">
        <v>3</v>
      </c>
    </row>
    <row r="5" spans="1:6" ht="15" x14ac:dyDescent="0.25">
      <c r="A5" s="55" t="s">
        <v>87</v>
      </c>
      <c r="B5" s="195" t="s">
        <v>266</v>
      </c>
      <c r="C5" s="195" t="s">
        <v>266</v>
      </c>
    </row>
    <row r="6" spans="1:6" x14ac:dyDescent="0.2">
      <c r="A6" s="74" t="s">
        <v>89</v>
      </c>
      <c r="B6" s="48">
        <v>5.6607351670109098</v>
      </c>
      <c r="C6" s="146">
        <f t="shared" ref="C6:C16" si="0">B6/$B$227</f>
        <v>1.9804530856863265E-6</v>
      </c>
      <c r="D6" s="74"/>
      <c r="E6" s="48"/>
      <c r="F6" s="75"/>
    </row>
    <row r="7" spans="1:6" x14ac:dyDescent="0.2">
      <c r="A7" s="74" t="s">
        <v>92</v>
      </c>
      <c r="B7" s="48">
        <v>108.8253938495273</v>
      </c>
      <c r="C7" s="146">
        <f t="shared" si="0"/>
        <v>3.8073426982829694E-5</v>
      </c>
      <c r="D7" s="74"/>
      <c r="E7" s="48"/>
      <c r="F7" s="75"/>
    </row>
    <row r="8" spans="1:6" x14ac:dyDescent="0.2">
      <c r="A8" s="74" t="s">
        <v>218</v>
      </c>
      <c r="B8" s="48">
        <v>60.165999999999997</v>
      </c>
      <c r="C8" s="146">
        <f t="shared" si="0"/>
        <v>2.1049552193822647E-5</v>
      </c>
      <c r="D8" s="74"/>
      <c r="E8" s="48"/>
      <c r="F8" s="75"/>
    </row>
    <row r="9" spans="1:6" x14ac:dyDescent="0.2">
      <c r="A9" s="74" t="s">
        <v>219</v>
      </c>
      <c r="B9" s="48">
        <v>45.018000000000001</v>
      </c>
      <c r="C9" s="146">
        <f t="shared" si="0"/>
        <v>1.5749904275861915E-5</v>
      </c>
      <c r="D9" s="74"/>
      <c r="E9" s="48"/>
      <c r="F9" s="75"/>
    </row>
    <row r="10" spans="1:6" x14ac:dyDescent="0.2">
      <c r="A10" s="74" t="s">
        <v>220</v>
      </c>
      <c r="B10" s="194">
        <v>0</v>
      </c>
      <c r="C10" s="146">
        <f t="shared" si="0"/>
        <v>0</v>
      </c>
      <c r="D10" s="74"/>
      <c r="E10" s="48"/>
      <c r="F10" s="75"/>
    </row>
    <row r="11" spans="1:6" x14ac:dyDescent="0.2">
      <c r="A11" s="74" t="s">
        <v>96</v>
      </c>
      <c r="B11" s="48">
        <v>87.763430220509107</v>
      </c>
      <c r="C11" s="146">
        <f t="shared" si="0"/>
        <v>3.070473199374262E-5</v>
      </c>
      <c r="D11" s="74"/>
      <c r="E11" s="48"/>
      <c r="F11" s="75"/>
    </row>
    <row r="12" spans="1:6" x14ac:dyDescent="0.2">
      <c r="A12" s="74" t="s">
        <v>221</v>
      </c>
      <c r="B12" s="48">
        <v>50.539999999999992</v>
      </c>
      <c r="C12" s="146">
        <f t="shared" si="0"/>
        <v>1.7681819763251613E-5</v>
      </c>
      <c r="D12" s="74"/>
      <c r="E12" s="48"/>
      <c r="F12" s="75"/>
    </row>
    <row r="13" spans="1:6" x14ac:dyDescent="0.2">
      <c r="A13" s="74" t="s">
        <v>88</v>
      </c>
      <c r="B13" s="48">
        <v>17.286000000000001</v>
      </c>
      <c r="C13" s="146">
        <f t="shared" si="0"/>
        <v>6.0476441714991579E-6</v>
      </c>
      <c r="D13" s="74"/>
      <c r="E13" s="76"/>
      <c r="F13" s="75"/>
    </row>
    <row r="14" spans="1:6" x14ac:dyDescent="0.2">
      <c r="A14" s="74" t="s">
        <v>173</v>
      </c>
      <c r="B14" s="48">
        <v>9.0850000000000009</v>
      </c>
      <c r="C14" s="146">
        <f t="shared" si="0"/>
        <v>3.178459290643865E-6</v>
      </c>
      <c r="D14" s="74"/>
      <c r="E14" s="76"/>
      <c r="F14" s="75"/>
    </row>
    <row r="15" spans="1:6" x14ac:dyDescent="0.2">
      <c r="A15" s="74" t="s">
        <v>89</v>
      </c>
      <c r="B15" s="194">
        <v>0</v>
      </c>
      <c r="C15" s="146">
        <f t="shared" si="0"/>
        <v>0</v>
      </c>
      <c r="D15" s="74"/>
      <c r="E15" s="76"/>
      <c r="F15" s="75"/>
    </row>
    <row r="16" spans="1:6" ht="15" x14ac:dyDescent="0.25">
      <c r="A16" s="57" t="s">
        <v>90</v>
      </c>
      <c r="B16" s="58">
        <f>SUM(B6:B15)</f>
        <v>384.34455923704729</v>
      </c>
      <c r="C16" s="59">
        <f t="shared" si="0"/>
        <v>1.3446599175733783E-4</v>
      </c>
      <c r="D16" s="74"/>
      <c r="E16" s="76"/>
      <c r="F16" s="75"/>
    </row>
    <row r="17" spans="1:6" ht="15" x14ac:dyDescent="0.25">
      <c r="A17" s="55" t="s">
        <v>91</v>
      </c>
      <c r="B17" s="195" t="s">
        <v>266</v>
      </c>
      <c r="C17" s="195" t="s">
        <v>266</v>
      </c>
      <c r="D17" s="74"/>
      <c r="E17" s="76"/>
      <c r="F17" s="75"/>
    </row>
    <row r="18" spans="1:6" x14ac:dyDescent="0.2">
      <c r="A18" s="74" t="s">
        <v>93</v>
      </c>
      <c r="B18" s="76">
        <v>86.796999999999997</v>
      </c>
      <c r="C18" s="146">
        <f t="shared" ref="C18:C30" si="1">B18/$B$227</f>
        <v>3.0366618717668191E-5</v>
      </c>
      <c r="D18" s="74"/>
      <c r="E18" s="76"/>
      <c r="F18" s="75"/>
    </row>
    <row r="19" spans="1:6" x14ac:dyDescent="0.2">
      <c r="A19" s="74" t="s">
        <v>97</v>
      </c>
      <c r="B19" s="76">
        <v>112.45099999999999</v>
      </c>
      <c r="C19" s="146">
        <f t="shared" si="1"/>
        <v>3.9341874044270027E-5</v>
      </c>
      <c r="D19" s="74"/>
      <c r="E19" s="76"/>
      <c r="F19" s="75"/>
    </row>
    <row r="20" spans="1:6" x14ac:dyDescent="0.2">
      <c r="A20" s="74" t="s">
        <v>222</v>
      </c>
      <c r="B20" s="76">
        <v>20.224800000000002</v>
      </c>
      <c r="C20" s="146">
        <f t="shared" si="1"/>
        <v>7.0758066550813475E-6</v>
      </c>
      <c r="D20" s="74"/>
      <c r="E20" s="76"/>
      <c r="F20" s="75"/>
    </row>
    <row r="21" spans="1:6" x14ac:dyDescent="0.2">
      <c r="A21" s="74" t="s">
        <v>223</v>
      </c>
      <c r="B21" s="76">
        <v>50.081940000000003</v>
      </c>
      <c r="C21" s="146">
        <f t="shared" si="1"/>
        <v>1.7521563840007552E-5</v>
      </c>
      <c r="D21" s="74"/>
      <c r="E21" s="76"/>
      <c r="F21" s="75"/>
    </row>
    <row r="22" spans="1:6" x14ac:dyDescent="0.2">
      <c r="A22" s="74" t="s">
        <v>224</v>
      </c>
      <c r="B22" s="76">
        <v>85.094309999999993</v>
      </c>
      <c r="C22" s="146">
        <f t="shared" si="1"/>
        <v>2.977091911947486E-5</v>
      </c>
      <c r="D22" s="74"/>
      <c r="E22" s="76"/>
      <c r="F22" s="75"/>
    </row>
    <row r="23" spans="1:6" x14ac:dyDescent="0.2">
      <c r="A23" s="74" t="s">
        <v>251</v>
      </c>
      <c r="B23" s="76">
        <v>15.678000000000001</v>
      </c>
      <c r="C23" s="146">
        <f t="shared" si="1"/>
        <v>5.485072620662027E-6</v>
      </c>
      <c r="D23" s="74"/>
      <c r="E23" s="76"/>
      <c r="F23" s="75"/>
    </row>
    <row r="24" spans="1:6" x14ac:dyDescent="0.2">
      <c r="A24" s="74" t="s">
        <v>252</v>
      </c>
      <c r="B24" s="76">
        <v>5.5666000000000002</v>
      </c>
      <c r="C24" s="146">
        <f t="shared" si="1"/>
        <v>1.9475191510509784E-6</v>
      </c>
      <c r="D24" s="74"/>
      <c r="E24" s="76"/>
      <c r="F24" s="75"/>
    </row>
    <row r="25" spans="1:6" x14ac:dyDescent="0.2">
      <c r="A25" s="74" t="s">
        <v>94</v>
      </c>
      <c r="B25" s="76">
        <v>32.299999999999997</v>
      </c>
      <c r="C25" s="146">
        <f t="shared" si="1"/>
        <v>1.1300411126890129E-5</v>
      </c>
      <c r="D25" s="74"/>
      <c r="E25" s="76"/>
      <c r="F25" s="75"/>
    </row>
    <row r="26" spans="1:6" x14ac:dyDescent="0.2">
      <c r="A26" s="74" t="s">
        <v>95</v>
      </c>
      <c r="B26" s="76">
        <v>0</v>
      </c>
      <c r="C26" s="146">
        <f t="shared" si="1"/>
        <v>0</v>
      </c>
      <c r="D26" s="74"/>
      <c r="E26" s="76"/>
      <c r="F26" s="75"/>
    </row>
    <row r="27" spans="1:6" x14ac:dyDescent="0.2">
      <c r="A27" s="74" t="s">
        <v>96</v>
      </c>
      <c r="B27" s="76">
        <v>0</v>
      </c>
      <c r="C27" s="146">
        <f t="shared" si="1"/>
        <v>0</v>
      </c>
      <c r="D27" s="74"/>
      <c r="E27" s="76"/>
      <c r="F27" s="75"/>
    </row>
    <row r="28" spans="1:6" x14ac:dyDescent="0.2">
      <c r="A28" s="74" t="s">
        <v>97</v>
      </c>
      <c r="B28" s="76">
        <v>0</v>
      </c>
      <c r="C28" s="146">
        <f t="shared" si="1"/>
        <v>0</v>
      </c>
      <c r="D28" s="74"/>
      <c r="E28" s="76"/>
      <c r="F28" s="75"/>
    </row>
    <row r="29" spans="1:6" x14ac:dyDescent="0.2">
      <c r="A29" s="74" t="s">
        <v>98</v>
      </c>
      <c r="B29" s="76">
        <v>0</v>
      </c>
      <c r="C29" s="146">
        <f t="shared" si="1"/>
        <v>0</v>
      </c>
      <c r="D29" s="74"/>
      <c r="E29" s="76"/>
      <c r="F29" s="75"/>
    </row>
    <row r="30" spans="1:6" ht="15" x14ac:dyDescent="0.25">
      <c r="A30" s="57" t="s">
        <v>99</v>
      </c>
      <c r="B30" s="58">
        <f>SUM(B18:B29)</f>
        <v>408.19365000000005</v>
      </c>
      <c r="C30" s="59">
        <f t="shared" si="1"/>
        <v>1.4280978527510512E-4</v>
      </c>
      <c r="D30" s="74"/>
      <c r="E30" s="76"/>
      <c r="F30" s="75"/>
    </row>
    <row r="31" spans="1:6" s="48" customFormat="1" ht="15" x14ac:dyDescent="0.25">
      <c r="A31" s="55" t="s">
        <v>100</v>
      </c>
      <c r="B31" s="195" t="s">
        <v>266</v>
      </c>
      <c r="C31" s="195" t="s">
        <v>266</v>
      </c>
      <c r="D31" s="74"/>
      <c r="E31" s="76"/>
      <c r="F31" s="75"/>
    </row>
    <row r="32" spans="1:6" s="48" customFormat="1" x14ac:dyDescent="0.2">
      <c r="A32" s="47" t="s">
        <v>76</v>
      </c>
      <c r="B32" s="60">
        <f>'נספח 3 - כללי'!B31+'נספח 3-אג"ח'!B11+'נספח 3 - מניות'!B11</f>
        <v>0</v>
      </c>
      <c r="C32" s="56">
        <f>B32/$B$227</f>
        <v>0</v>
      </c>
      <c r="D32" s="74"/>
      <c r="E32" s="76"/>
      <c r="F32" s="75"/>
    </row>
    <row r="33" spans="1:6" s="48" customFormat="1" x14ac:dyDescent="0.2">
      <c r="A33" s="47" t="s">
        <v>77</v>
      </c>
      <c r="B33" s="60">
        <f>'נספח 3 - כללי'!B32+'נספח 3-אג"ח'!B12+'נספח 3 - מניות'!B12</f>
        <v>0</v>
      </c>
      <c r="C33" s="56">
        <f>B33/$B$227</f>
        <v>0</v>
      </c>
      <c r="D33" s="74"/>
      <c r="E33" s="76"/>
      <c r="F33" s="75"/>
    </row>
    <row r="34" spans="1:6" s="48" customFormat="1" x14ac:dyDescent="0.2">
      <c r="A34" s="47" t="s">
        <v>71</v>
      </c>
      <c r="B34" s="60">
        <f>'נספח 3 - כללי'!B33+'נספח 3-אג"ח'!B13+'נספח 3 - מניות'!B13</f>
        <v>0</v>
      </c>
      <c r="C34" s="56">
        <f>B34/$B$227</f>
        <v>0</v>
      </c>
      <c r="D34" s="74"/>
      <c r="E34" s="76"/>
      <c r="F34" s="75"/>
    </row>
    <row r="35" spans="1:6" s="48" customFormat="1" ht="15" x14ac:dyDescent="0.25">
      <c r="A35" s="57" t="s">
        <v>101</v>
      </c>
      <c r="B35" s="58">
        <f>SUM(B32:B34)</f>
        <v>0</v>
      </c>
      <c r="C35" s="59">
        <f>B35/$B$227</f>
        <v>0</v>
      </c>
      <c r="D35" s="74"/>
      <c r="E35" s="76"/>
      <c r="F35" s="75"/>
    </row>
    <row r="36" spans="1:6" s="48" customFormat="1" ht="15" x14ac:dyDescent="0.25">
      <c r="A36" s="55" t="s">
        <v>102</v>
      </c>
      <c r="B36" s="195" t="s">
        <v>266</v>
      </c>
      <c r="C36" s="195" t="s">
        <v>266</v>
      </c>
      <c r="D36" s="74"/>
      <c r="E36" s="76"/>
      <c r="F36" s="75"/>
    </row>
    <row r="37" spans="1:6" s="48" customFormat="1" x14ac:dyDescent="0.2">
      <c r="A37" s="47" t="s">
        <v>76</v>
      </c>
      <c r="B37" s="60">
        <f>'נספח 3 - כללי'!B36+'נספח 3-אג"ח'!B16+'נספח 3 - מניות'!B16</f>
        <v>0</v>
      </c>
      <c r="C37" s="56">
        <f>B37/$B$227</f>
        <v>0</v>
      </c>
      <c r="D37" s="74"/>
      <c r="E37" s="76"/>
      <c r="F37" s="75"/>
    </row>
    <row r="38" spans="1:6" s="48" customFormat="1" x14ac:dyDescent="0.2">
      <c r="A38" s="47" t="s">
        <v>77</v>
      </c>
      <c r="B38" s="60">
        <f>'נספח 3 - כללי'!B37+'נספח 3-אג"ח'!B17+'נספח 3 - מניות'!B17</f>
        <v>0</v>
      </c>
      <c r="C38" s="56">
        <f>B38/$B$227</f>
        <v>0</v>
      </c>
      <c r="D38" s="74"/>
      <c r="E38" s="76"/>
      <c r="F38" s="75"/>
    </row>
    <row r="39" spans="1:6" s="48" customFormat="1" x14ac:dyDescent="0.2">
      <c r="A39" s="47" t="s">
        <v>71</v>
      </c>
      <c r="B39" s="60">
        <f>'נספח 3 - כללי'!B38+'נספח 3-אג"ח'!B18+'נספח 3 - מניות'!B18</f>
        <v>0</v>
      </c>
      <c r="C39" s="56">
        <f>B39/$B$227</f>
        <v>0</v>
      </c>
      <c r="D39" s="74"/>
      <c r="E39" s="76"/>
      <c r="F39" s="75"/>
    </row>
    <row r="40" spans="1:6" s="48" customFormat="1" ht="15" x14ac:dyDescent="0.25">
      <c r="A40" s="57" t="s">
        <v>103</v>
      </c>
      <c r="B40" s="58">
        <f>SUM(B37:B39)</f>
        <v>0</v>
      </c>
      <c r="C40" s="59">
        <f>B40/$B$227</f>
        <v>0</v>
      </c>
      <c r="D40" s="74"/>
      <c r="E40" s="76"/>
      <c r="F40" s="75"/>
    </row>
    <row r="41" spans="1:6" s="48" customFormat="1" ht="15" x14ac:dyDescent="0.25">
      <c r="A41" s="55" t="s">
        <v>104</v>
      </c>
      <c r="B41" s="195" t="s">
        <v>266</v>
      </c>
      <c r="C41" s="195" t="s">
        <v>266</v>
      </c>
      <c r="D41" s="74"/>
      <c r="E41" s="76"/>
      <c r="F41" s="75"/>
    </row>
    <row r="42" spans="1:6" s="48" customFormat="1" ht="15" x14ac:dyDescent="0.25">
      <c r="A42" s="55" t="s">
        <v>105</v>
      </c>
      <c r="B42" s="195" t="s">
        <v>266</v>
      </c>
      <c r="C42" s="195" t="s">
        <v>266</v>
      </c>
      <c r="D42" s="74"/>
      <c r="E42" s="76"/>
      <c r="F42" s="75"/>
    </row>
    <row r="43" spans="1:6" s="48" customFormat="1" x14ac:dyDescent="0.2">
      <c r="A43" s="47" t="s">
        <v>106</v>
      </c>
      <c r="B43" s="60">
        <f>'נספח 3 - כללי'!B42+'נספח 3-אג"ח'!B22+'נספח 3 - מניות'!B22</f>
        <v>0</v>
      </c>
      <c r="C43" s="56">
        <f>B43/$B$227</f>
        <v>0</v>
      </c>
      <c r="D43" s="74"/>
      <c r="E43" s="76"/>
      <c r="F43" s="75"/>
    </row>
    <row r="44" spans="1:6" s="48" customFormat="1" ht="15" x14ac:dyDescent="0.25">
      <c r="A44" s="57" t="s">
        <v>107</v>
      </c>
      <c r="B44" s="58">
        <f>SUM(B43)</f>
        <v>0</v>
      </c>
      <c r="C44" s="59">
        <f>B44/$B$227</f>
        <v>0</v>
      </c>
      <c r="D44" s="74"/>
      <c r="E44" s="76"/>
      <c r="F44" s="75"/>
    </row>
    <row r="45" spans="1:6" s="48" customFormat="1" ht="15" x14ac:dyDescent="0.25">
      <c r="A45" s="55" t="s">
        <v>108</v>
      </c>
      <c r="B45" s="195" t="s">
        <v>266</v>
      </c>
      <c r="C45" s="195" t="s">
        <v>266</v>
      </c>
      <c r="D45" s="74"/>
      <c r="E45" s="76"/>
      <c r="F45" s="75"/>
    </row>
    <row r="46" spans="1:6" s="48" customFormat="1" x14ac:dyDescent="0.2">
      <c r="A46" s="148" t="s">
        <v>111</v>
      </c>
      <c r="B46" s="76">
        <v>2.0099999999999998</v>
      </c>
      <c r="C46" s="56">
        <f t="shared" ref="C46:C55" si="2">B46/$B$227</f>
        <v>7.0321443854641361E-7</v>
      </c>
      <c r="D46" s="74"/>
      <c r="E46" s="76"/>
      <c r="F46" s="75"/>
    </row>
    <row r="47" spans="1:6" s="48" customFormat="1" x14ac:dyDescent="0.2">
      <c r="A47" s="98" t="s">
        <v>227</v>
      </c>
      <c r="B47" s="76">
        <v>20.100000000000001</v>
      </c>
      <c r="C47" s="56">
        <f t="shared" si="2"/>
        <v>7.0321443854641372E-6</v>
      </c>
      <c r="D47" s="74"/>
      <c r="E47" s="76"/>
      <c r="F47" s="75"/>
    </row>
    <row r="48" spans="1:6" s="48" customFormat="1" x14ac:dyDescent="0.2">
      <c r="A48" s="98" t="s">
        <v>258</v>
      </c>
      <c r="B48" s="76">
        <v>6.33</v>
      </c>
      <c r="C48" s="56">
        <f t="shared" si="2"/>
        <v>2.2146006945267653E-6</v>
      </c>
      <c r="D48" s="74"/>
      <c r="E48" s="76"/>
      <c r="F48" s="75"/>
    </row>
    <row r="49" spans="1:6" s="48" customFormat="1" x14ac:dyDescent="0.2">
      <c r="A49" s="98" t="s">
        <v>228</v>
      </c>
      <c r="B49" s="76">
        <v>9.56</v>
      </c>
      <c r="C49" s="56">
        <f t="shared" si="2"/>
        <v>3.3446418072157785E-6</v>
      </c>
      <c r="D49" s="74"/>
      <c r="E49" s="76"/>
      <c r="F49" s="75"/>
    </row>
    <row r="50" spans="1:6" s="48" customFormat="1" x14ac:dyDescent="0.2">
      <c r="A50" s="98" t="s">
        <v>244</v>
      </c>
      <c r="B50" s="76">
        <v>2.86</v>
      </c>
      <c r="C50" s="56">
        <f t="shared" si="2"/>
        <v>1.0005936787277327E-6</v>
      </c>
      <c r="D50" s="74"/>
      <c r="E50" s="76"/>
      <c r="F50" s="75"/>
    </row>
    <row r="51" spans="1:6" s="48" customFormat="1" x14ac:dyDescent="0.2">
      <c r="A51" s="98" t="s">
        <v>110</v>
      </c>
      <c r="B51" s="76">
        <v>11.05</v>
      </c>
      <c r="C51" s="56">
        <f t="shared" si="2"/>
        <v>3.8659301223571501E-6</v>
      </c>
      <c r="D51" s="74"/>
      <c r="E51" s="76"/>
      <c r="F51" s="75"/>
    </row>
    <row r="52" spans="1:6" s="48" customFormat="1" x14ac:dyDescent="0.2">
      <c r="A52" s="98" t="s">
        <v>112</v>
      </c>
      <c r="B52" s="76">
        <v>6.58</v>
      </c>
      <c r="C52" s="56">
        <f t="shared" si="2"/>
        <v>2.3020651769330358E-6</v>
      </c>
      <c r="D52" s="74"/>
      <c r="E52" s="76"/>
      <c r="F52" s="75"/>
    </row>
    <row r="53" spans="1:6" s="48" customFormat="1" x14ac:dyDescent="0.2">
      <c r="A53" s="98" t="s">
        <v>114</v>
      </c>
      <c r="B53" s="76">
        <v>21.57</v>
      </c>
      <c r="C53" s="56">
        <f t="shared" si="2"/>
        <v>7.546435542013006E-6</v>
      </c>
      <c r="D53" s="74"/>
      <c r="E53" s="76"/>
      <c r="F53" s="75"/>
    </row>
    <row r="54" spans="1:6" s="48" customFormat="1" x14ac:dyDescent="0.2">
      <c r="A54" s="98" t="s">
        <v>113</v>
      </c>
      <c r="B54" s="76">
        <v>8.84</v>
      </c>
      <c r="C54" s="56">
        <f t="shared" si="2"/>
        <v>3.0927440978857197E-6</v>
      </c>
      <c r="D54" s="74"/>
      <c r="E54" s="76"/>
      <c r="F54" s="75"/>
    </row>
    <row r="55" spans="1:6" s="48" customFormat="1" x14ac:dyDescent="0.2">
      <c r="A55" s="147" t="s">
        <v>109</v>
      </c>
      <c r="B55" s="81">
        <v>0.27</v>
      </c>
      <c r="C55" s="56">
        <f t="shared" si="2"/>
        <v>9.4461640998771985E-8</v>
      </c>
      <c r="D55" s="74"/>
      <c r="E55" s="76"/>
      <c r="F55" s="75"/>
    </row>
    <row r="56" spans="1:6" ht="15" x14ac:dyDescent="0.25">
      <c r="A56" s="57" t="s">
        <v>115</v>
      </c>
      <c r="B56" s="58">
        <f>SUM(B46:B55)</f>
        <v>89.17</v>
      </c>
      <c r="C56" s="200" t="s">
        <v>266</v>
      </c>
      <c r="D56" s="74"/>
      <c r="E56" s="76"/>
      <c r="F56" s="75"/>
    </row>
    <row r="57" spans="1:6" s="48" customFormat="1" ht="15" x14ac:dyDescent="0.25">
      <c r="A57" s="61" t="s">
        <v>116</v>
      </c>
      <c r="B57" s="62">
        <f>B56+B44</f>
        <v>89.17</v>
      </c>
      <c r="C57" s="63">
        <f>B57/$B$227</f>
        <v>3.1196831584668514E-5</v>
      </c>
      <c r="D57" s="74"/>
      <c r="E57" s="76"/>
      <c r="F57" s="75"/>
    </row>
    <row r="58" spans="1:6" s="48" customFormat="1" ht="15" x14ac:dyDescent="0.25">
      <c r="A58" s="55" t="s">
        <v>117</v>
      </c>
      <c r="B58" s="195" t="s">
        <v>266</v>
      </c>
      <c r="C58" s="195" t="s">
        <v>266</v>
      </c>
      <c r="D58" s="74"/>
      <c r="E58" s="76"/>
      <c r="F58" s="75"/>
    </row>
    <row r="59" spans="1:6" s="48" customFormat="1" ht="15" x14ac:dyDescent="0.25">
      <c r="A59" s="55" t="s">
        <v>118</v>
      </c>
      <c r="B59" s="195" t="s">
        <v>266</v>
      </c>
      <c r="C59" s="195" t="s">
        <v>266</v>
      </c>
      <c r="D59" s="74"/>
      <c r="E59" s="76"/>
      <c r="F59" s="75"/>
    </row>
    <row r="60" spans="1:6" s="48" customFormat="1" x14ac:dyDescent="0.2">
      <c r="A60" s="148" t="s">
        <v>208</v>
      </c>
      <c r="B60" s="76">
        <v>50.05</v>
      </c>
      <c r="C60" s="56">
        <f t="shared" ref="C60:C69" si="3">B60/$B$227</f>
        <v>1.7510389377735323E-5</v>
      </c>
      <c r="D60" s="74"/>
      <c r="E60" s="76"/>
      <c r="F60" s="75"/>
    </row>
    <row r="61" spans="1:6" s="48" customFormat="1" x14ac:dyDescent="0.2">
      <c r="A61" s="148" t="s">
        <v>174</v>
      </c>
      <c r="B61" s="76">
        <f>12.69+102.61+42.48+'נספח 3 - מניות'!B34</f>
        <v>158.69</v>
      </c>
      <c r="C61" s="56">
        <f t="shared" si="3"/>
        <v>5.5518954852204167E-5</v>
      </c>
      <c r="D61" s="74"/>
      <c r="E61" s="76"/>
      <c r="F61" s="75"/>
    </row>
    <row r="62" spans="1:6" s="48" customFormat="1" x14ac:dyDescent="0.2">
      <c r="A62" s="148" t="s">
        <v>226</v>
      </c>
      <c r="B62" s="76">
        <v>1.6</v>
      </c>
      <c r="C62" s="56">
        <f t="shared" si="3"/>
        <v>5.5977268740013026E-7</v>
      </c>
      <c r="D62" s="74"/>
      <c r="E62" s="76"/>
      <c r="F62" s="75"/>
    </row>
    <row r="63" spans="1:6" s="48" customFormat="1" x14ac:dyDescent="0.2">
      <c r="A63" s="98" t="s">
        <v>120</v>
      </c>
      <c r="B63" s="76">
        <f>12.58+26.32+'נספח 3 - מניות'!B33</f>
        <v>40.03</v>
      </c>
      <c r="C63" s="56">
        <f t="shared" si="3"/>
        <v>1.400481292289201E-5</v>
      </c>
      <c r="D63" s="74"/>
      <c r="E63" s="76"/>
      <c r="F63" s="75"/>
    </row>
    <row r="64" spans="1:6" s="48" customFormat="1" x14ac:dyDescent="0.2">
      <c r="A64" s="98" t="s">
        <v>207</v>
      </c>
      <c r="B64" s="76">
        <v>6.98</v>
      </c>
      <c r="C64" s="56">
        <f t="shared" si="3"/>
        <v>2.4420083487830687E-6</v>
      </c>
      <c r="D64" s="74"/>
      <c r="E64" s="76"/>
      <c r="F64" s="75"/>
    </row>
    <row r="65" spans="1:6" s="48" customFormat="1" x14ac:dyDescent="0.2">
      <c r="A65" s="98" t="s">
        <v>119</v>
      </c>
      <c r="B65" s="76">
        <f>3.24+0.24+151.68+'נספח 3 - מניות'!B31</f>
        <v>155.68</v>
      </c>
      <c r="C65" s="56">
        <f t="shared" si="3"/>
        <v>5.4465882484032675E-5</v>
      </c>
      <c r="D65" s="74"/>
      <c r="E65" s="76"/>
      <c r="F65" s="75"/>
    </row>
    <row r="66" spans="1:6" s="48" customFormat="1" x14ac:dyDescent="0.2">
      <c r="A66" s="98" t="s">
        <v>209</v>
      </c>
      <c r="B66" s="76">
        <v>21.15</v>
      </c>
      <c r="C66" s="56">
        <f t="shared" si="3"/>
        <v>7.3994952115704713E-6</v>
      </c>
      <c r="D66" s="74"/>
      <c r="E66" s="76"/>
      <c r="F66" s="75"/>
    </row>
    <row r="67" spans="1:6" s="48" customFormat="1" x14ac:dyDescent="0.2">
      <c r="A67" s="98" t="s">
        <v>176</v>
      </c>
      <c r="B67" s="76">
        <f>15.9+59.92+'נספח 3 - מניות'!B32</f>
        <v>76.690000000000012</v>
      </c>
      <c r="C67" s="56">
        <f t="shared" si="3"/>
        <v>2.6830604622947499E-5</v>
      </c>
      <c r="D67" s="74"/>
      <c r="E67" s="76"/>
      <c r="F67" s="75"/>
    </row>
    <row r="68" spans="1:6" s="48" customFormat="1" x14ac:dyDescent="0.2">
      <c r="A68" s="98" t="s">
        <v>175</v>
      </c>
      <c r="B68" s="76">
        <f>-5.07-8.82+25.51+'נספח 3 - מניות'!B30</f>
        <v>11.48</v>
      </c>
      <c r="C68" s="56">
        <f t="shared" si="3"/>
        <v>4.0163690320959346E-6</v>
      </c>
      <c r="D68" s="74"/>
      <c r="E68" s="76"/>
      <c r="F68" s="75"/>
    </row>
    <row r="69" spans="1:6" ht="15" x14ac:dyDescent="0.25">
      <c r="A69" s="57" t="s">
        <v>122</v>
      </c>
      <c r="B69" s="58">
        <f>SUM(B60:B68)</f>
        <v>522.35</v>
      </c>
      <c r="C69" s="59">
        <f t="shared" si="3"/>
        <v>1.8274828953966128E-4</v>
      </c>
      <c r="D69" s="74"/>
      <c r="E69" s="76"/>
      <c r="F69" s="75"/>
    </row>
    <row r="70" spans="1:6" ht="15" x14ac:dyDescent="0.25">
      <c r="A70" s="55" t="s">
        <v>123</v>
      </c>
      <c r="B70" s="195" t="s">
        <v>266</v>
      </c>
      <c r="C70" s="195" t="s">
        <v>266</v>
      </c>
      <c r="D70" s="74"/>
      <c r="E70" s="76"/>
      <c r="F70" s="75"/>
    </row>
    <row r="71" spans="1:6" x14ac:dyDescent="0.2">
      <c r="A71" s="98" t="s">
        <v>253</v>
      </c>
      <c r="B71" s="76">
        <v>0.38</v>
      </c>
      <c r="C71" s="195" t="s">
        <v>266</v>
      </c>
      <c r="D71" s="74"/>
      <c r="E71" s="76"/>
      <c r="F71" s="75"/>
    </row>
    <row r="72" spans="1:6" x14ac:dyDescent="0.2">
      <c r="A72" s="98" t="s">
        <v>124</v>
      </c>
      <c r="B72" s="76">
        <v>0.96</v>
      </c>
      <c r="C72" s="195" t="s">
        <v>266</v>
      </c>
      <c r="D72" s="74"/>
      <c r="E72" s="76"/>
      <c r="F72" s="75"/>
    </row>
    <row r="73" spans="1:6" x14ac:dyDescent="0.2">
      <c r="A73" s="98" t="s">
        <v>125</v>
      </c>
      <c r="B73" s="76">
        <v>1.45</v>
      </c>
      <c r="C73" s="195" t="s">
        <v>266</v>
      </c>
      <c r="D73" s="74"/>
      <c r="E73" s="76"/>
      <c r="F73" s="75"/>
    </row>
    <row r="74" spans="1:6" x14ac:dyDescent="0.2">
      <c r="A74" s="98" t="s">
        <v>128</v>
      </c>
      <c r="B74" s="76">
        <v>1.93</v>
      </c>
      <c r="C74" s="195" t="s">
        <v>266</v>
      </c>
      <c r="D74" s="74"/>
      <c r="E74" s="76"/>
      <c r="F74" s="75"/>
    </row>
    <row r="75" spans="1:6" x14ac:dyDescent="0.2">
      <c r="A75" s="98" t="s">
        <v>129</v>
      </c>
      <c r="B75" s="76">
        <v>0.12</v>
      </c>
      <c r="C75" s="195" t="s">
        <v>266</v>
      </c>
      <c r="D75" s="74"/>
      <c r="E75" s="76"/>
      <c r="F75" s="75"/>
    </row>
    <row r="76" spans="1:6" x14ac:dyDescent="0.2">
      <c r="A76" s="98" t="s">
        <v>166</v>
      </c>
      <c r="B76" s="76">
        <v>7.15</v>
      </c>
      <c r="C76" s="195" t="s">
        <v>266</v>
      </c>
      <c r="D76" s="74"/>
      <c r="E76" s="76"/>
      <c r="F76" s="75"/>
    </row>
    <row r="77" spans="1:6" x14ac:dyDescent="0.2">
      <c r="A77" s="98" t="s">
        <v>131</v>
      </c>
      <c r="B77" s="76">
        <v>40.25</v>
      </c>
      <c r="C77" s="195" t="s">
        <v>266</v>
      </c>
      <c r="D77" s="74"/>
      <c r="E77" s="76"/>
      <c r="F77" s="75"/>
    </row>
    <row r="78" spans="1:6" x14ac:dyDescent="0.2">
      <c r="A78" s="98" t="s">
        <v>132</v>
      </c>
      <c r="B78" s="76">
        <v>20.53</v>
      </c>
      <c r="C78" s="195" t="s">
        <v>266</v>
      </c>
      <c r="D78" s="74"/>
      <c r="E78" s="76"/>
      <c r="F78" s="75"/>
    </row>
    <row r="79" spans="1:6" x14ac:dyDescent="0.2">
      <c r="A79" s="98" t="s">
        <v>147</v>
      </c>
      <c r="B79" s="76">
        <v>1.49</v>
      </c>
      <c r="C79" s="195" t="s">
        <v>266</v>
      </c>
      <c r="D79" s="74"/>
      <c r="E79" s="76"/>
      <c r="F79" s="75"/>
    </row>
    <row r="80" spans="1:6" x14ac:dyDescent="0.2">
      <c r="A80" s="98" t="s">
        <v>135</v>
      </c>
      <c r="B80" s="76">
        <v>12.17</v>
      </c>
      <c r="C80" s="195" t="s">
        <v>266</v>
      </c>
      <c r="D80" s="74"/>
      <c r="E80" s="76"/>
      <c r="F80" s="75"/>
    </row>
    <row r="81" spans="1:6" x14ac:dyDescent="0.2">
      <c r="A81" s="98" t="s">
        <v>178</v>
      </c>
      <c r="B81" s="76">
        <v>5.81</v>
      </c>
      <c r="C81" s="195" t="s">
        <v>266</v>
      </c>
      <c r="D81" s="74"/>
      <c r="E81" s="76"/>
      <c r="F81" s="75"/>
    </row>
    <row r="82" spans="1:6" x14ac:dyDescent="0.2">
      <c r="A82" s="98" t="s">
        <v>136</v>
      </c>
      <c r="B82" s="76">
        <v>1.61</v>
      </c>
      <c r="C82" s="195" t="s">
        <v>266</v>
      </c>
      <c r="D82" s="74"/>
      <c r="E82" s="76"/>
      <c r="F82" s="75"/>
    </row>
    <row r="83" spans="1:6" x14ac:dyDescent="0.2">
      <c r="A83" s="98" t="s">
        <v>137</v>
      </c>
      <c r="B83" s="76">
        <v>1.79</v>
      </c>
      <c r="C83" s="195" t="s">
        <v>266</v>
      </c>
      <c r="D83" s="74"/>
      <c r="E83" s="76"/>
      <c r="F83" s="75"/>
    </row>
    <row r="84" spans="1:6" x14ac:dyDescent="0.2">
      <c r="A84" s="98" t="s">
        <v>138</v>
      </c>
      <c r="B84" s="76">
        <v>0.49</v>
      </c>
      <c r="C84" s="195" t="s">
        <v>266</v>
      </c>
      <c r="D84" s="74"/>
      <c r="E84" s="76"/>
      <c r="F84" s="75"/>
    </row>
    <row r="85" spans="1:6" x14ac:dyDescent="0.2">
      <c r="A85" s="98" t="s">
        <v>139</v>
      </c>
      <c r="B85" s="76">
        <v>7.13</v>
      </c>
      <c r="C85" s="195" t="s">
        <v>266</v>
      </c>
      <c r="D85" s="74"/>
      <c r="E85" s="76"/>
      <c r="F85" s="75"/>
    </row>
    <row r="86" spans="1:6" x14ac:dyDescent="0.2">
      <c r="A86" s="98" t="s">
        <v>141</v>
      </c>
      <c r="B86" s="76">
        <v>0.05</v>
      </c>
      <c r="C86" s="195" t="s">
        <v>266</v>
      </c>
      <c r="D86" s="74"/>
      <c r="E86" s="76"/>
      <c r="F86" s="75"/>
    </row>
    <row r="87" spans="1:6" x14ac:dyDescent="0.2">
      <c r="A87" s="98" t="s">
        <v>142</v>
      </c>
      <c r="B87" s="76">
        <v>0.03</v>
      </c>
      <c r="C87" s="195" t="s">
        <v>266</v>
      </c>
      <c r="D87" s="74"/>
      <c r="E87" s="76"/>
      <c r="F87" s="75"/>
    </row>
    <row r="88" spans="1:6" x14ac:dyDescent="0.2">
      <c r="A88" s="98" t="s">
        <v>143</v>
      </c>
      <c r="B88" s="76">
        <v>29.6</v>
      </c>
      <c r="C88" s="195" t="s">
        <v>266</v>
      </c>
      <c r="D88" s="74"/>
      <c r="E88" s="76"/>
      <c r="F88" s="75"/>
    </row>
    <row r="89" spans="1:6" x14ac:dyDescent="0.2">
      <c r="A89" s="98" t="s">
        <v>186</v>
      </c>
      <c r="B89" s="76">
        <v>3.87</v>
      </c>
      <c r="C89" s="195" t="s">
        <v>266</v>
      </c>
      <c r="D89" s="74"/>
      <c r="E89" s="76"/>
      <c r="F89" s="75"/>
    </row>
    <row r="90" spans="1:6" x14ac:dyDescent="0.2">
      <c r="A90" s="98" t="s">
        <v>146</v>
      </c>
      <c r="B90" s="76">
        <v>3.75</v>
      </c>
      <c r="C90" s="195" t="s">
        <v>266</v>
      </c>
      <c r="D90" s="74"/>
      <c r="E90" s="76"/>
      <c r="F90" s="75"/>
    </row>
    <row r="91" spans="1:6" x14ac:dyDescent="0.2">
      <c r="A91" s="98" t="s">
        <v>145</v>
      </c>
      <c r="B91" s="76">
        <v>16.54</v>
      </c>
      <c r="C91" s="195" t="s">
        <v>266</v>
      </c>
      <c r="D91" s="74"/>
      <c r="E91" s="76"/>
      <c r="F91" s="75"/>
    </row>
    <row r="92" spans="1:6" x14ac:dyDescent="0.2">
      <c r="A92" s="98" t="s">
        <v>151</v>
      </c>
      <c r="B92" s="76">
        <v>0.04</v>
      </c>
      <c r="C92" s="195" t="s">
        <v>266</v>
      </c>
      <c r="D92" s="74"/>
      <c r="E92" s="76"/>
      <c r="F92" s="75"/>
    </row>
    <row r="93" spans="1:6" x14ac:dyDescent="0.2">
      <c r="A93" s="98" t="s">
        <v>152</v>
      </c>
      <c r="B93" s="76">
        <v>3.59</v>
      </c>
      <c r="C93" s="195" t="s">
        <v>266</v>
      </c>
      <c r="D93" s="74"/>
      <c r="E93" s="76"/>
      <c r="F93" s="75"/>
    </row>
    <row r="94" spans="1:6" x14ac:dyDescent="0.2">
      <c r="A94" s="98" t="s">
        <v>187</v>
      </c>
      <c r="B94" s="76">
        <v>2.84</v>
      </c>
      <c r="C94" s="195" t="s">
        <v>266</v>
      </c>
      <c r="D94" s="74"/>
      <c r="E94" s="76"/>
      <c r="F94" s="75"/>
    </row>
    <row r="95" spans="1:6" x14ac:dyDescent="0.2">
      <c r="A95" s="98" t="s">
        <v>154</v>
      </c>
      <c r="B95" s="76">
        <v>3.64</v>
      </c>
      <c r="C95" s="195" t="s">
        <v>266</v>
      </c>
      <c r="D95" s="74"/>
      <c r="E95" s="76"/>
      <c r="F95" s="75"/>
    </row>
    <row r="96" spans="1:6" x14ac:dyDescent="0.2">
      <c r="A96" s="98" t="s">
        <v>155</v>
      </c>
      <c r="B96" s="76">
        <v>17.8</v>
      </c>
      <c r="C96" s="195" t="s">
        <v>266</v>
      </c>
      <c r="D96" s="74"/>
      <c r="E96" s="76"/>
      <c r="F96" s="75"/>
    </row>
    <row r="97" spans="1:6" x14ac:dyDescent="0.2">
      <c r="A97" s="98" t="s">
        <v>188</v>
      </c>
      <c r="B97" s="76">
        <v>11.31</v>
      </c>
      <c r="C97" s="195" t="s">
        <v>266</v>
      </c>
      <c r="D97" s="74"/>
      <c r="E97" s="76"/>
      <c r="F97" s="75"/>
    </row>
    <row r="98" spans="1:6" x14ac:dyDescent="0.2">
      <c r="A98" s="98" t="s">
        <v>189</v>
      </c>
      <c r="B98" s="76">
        <v>6.24</v>
      </c>
      <c r="C98" s="195" t="s">
        <v>266</v>
      </c>
      <c r="D98" s="74"/>
      <c r="E98" s="76"/>
      <c r="F98" s="75"/>
    </row>
    <row r="99" spans="1:6" x14ac:dyDescent="0.2">
      <c r="A99" s="98" t="s">
        <v>190</v>
      </c>
      <c r="B99" s="76">
        <v>2.15</v>
      </c>
      <c r="C99" s="195" t="s">
        <v>266</v>
      </c>
      <c r="D99" s="74"/>
      <c r="E99" s="76"/>
      <c r="F99" s="75"/>
    </row>
    <row r="100" spans="1:6" x14ac:dyDescent="0.2">
      <c r="A100" s="98" t="s">
        <v>191</v>
      </c>
      <c r="B100" s="76">
        <v>8.1999999999999993</v>
      </c>
      <c r="C100" s="195" t="s">
        <v>266</v>
      </c>
      <c r="D100" s="74"/>
      <c r="E100" s="76"/>
      <c r="F100" s="75"/>
    </row>
    <row r="101" spans="1:6" x14ac:dyDescent="0.2">
      <c r="A101" s="98" t="s">
        <v>192</v>
      </c>
      <c r="B101" s="76">
        <v>4.28</v>
      </c>
      <c r="C101" s="195" t="s">
        <v>266</v>
      </c>
      <c r="D101" s="74"/>
      <c r="E101" s="76"/>
      <c r="F101" s="75"/>
    </row>
    <row r="102" spans="1:6" x14ac:dyDescent="0.2">
      <c r="A102" s="98" t="s">
        <v>193</v>
      </c>
      <c r="B102" s="76">
        <v>13.12</v>
      </c>
      <c r="C102" s="195" t="s">
        <v>266</v>
      </c>
      <c r="D102" s="74"/>
      <c r="E102" s="76"/>
      <c r="F102" s="75"/>
    </row>
    <row r="103" spans="1:6" x14ac:dyDescent="0.2">
      <c r="A103" s="98" t="s">
        <v>180</v>
      </c>
      <c r="B103" s="76">
        <v>7.07</v>
      </c>
      <c r="C103" s="195" t="s">
        <v>266</v>
      </c>
      <c r="D103" s="74"/>
      <c r="E103" s="76"/>
      <c r="F103" s="75"/>
    </row>
    <row r="104" spans="1:6" x14ac:dyDescent="0.2">
      <c r="A104" s="98" t="s">
        <v>194</v>
      </c>
      <c r="B104" s="76">
        <v>6.59</v>
      </c>
      <c r="C104" s="195" t="s">
        <v>266</v>
      </c>
      <c r="D104" s="74"/>
      <c r="E104" s="76"/>
      <c r="F104" s="75"/>
    </row>
    <row r="105" spans="1:6" x14ac:dyDescent="0.2">
      <c r="A105" s="98" t="s">
        <v>195</v>
      </c>
      <c r="B105" s="76">
        <v>2.29</v>
      </c>
      <c r="C105" s="195" t="s">
        <v>266</v>
      </c>
      <c r="D105" s="74"/>
      <c r="E105" s="76"/>
      <c r="F105" s="75"/>
    </row>
    <row r="106" spans="1:6" x14ac:dyDescent="0.2">
      <c r="A106" s="98" t="s">
        <v>196</v>
      </c>
      <c r="B106" s="76">
        <v>3.38</v>
      </c>
      <c r="C106" s="195" t="s">
        <v>266</v>
      </c>
      <c r="D106" s="74"/>
      <c r="E106" s="76"/>
      <c r="F106" s="75"/>
    </row>
    <row r="107" spans="1:6" x14ac:dyDescent="0.2">
      <c r="A107" s="98" t="s">
        <v>197</v>
      </c>
      <c r="B107" s="76">
        <v>2.88</v>
      </c>
      <c r="C107" s="195" t="s">
        <v>266</v>
      </c>
      <c r="D107" s="74"/>
      <c r="E107" s="76"/>
      <c r="F107" s="75"/>
    </row>
    <row r="108" spans="1:6" x14ac:dyDescent="0.2">
      <c r="A108" s="98" t="s">
        <v>198</v>
      </c>
      <c r="B108" s="76">
        <v>14.34</v>
      </c>
      <c r="C108" s="195" t="s">
        <v>266</v>
      </c>
      <c r="D108" s="74"/>
      <c r="E108" s="76"/>
      <c r="F108" s="75"/>
    </row>
    <row r="109" spans="1:6" x14ac:dyDescent="0.2">
      <c r="A109" s="98" t="s">
        <v>199</v>
      </c>
      <c r="B109" s="76">
        <v>1.89</v>
      </c>
      <c r="C109" s="195" t="s">
        <v>266</v>
      </c>
      <c r="D109" s="74"/>
      <c r="E109" s="76"/>
      <c r="F109" s="75"/>
    </row>
    <row r="110" spans="1:6" x14ac:dyDescent="0.2">
      <c r="A110" s="98" t="s">
        <v>200</v>
      </c>
      <c r="B110" s="76">
        <v>14.04</v>
      </c>
      <c r="C110" s="195" t="s">
        <v>266</v>
      </c>
      <c r="D110" s="74"/>
      <c r="E110" s="76"/>
      <c r="F110" s="75"/>
    </row>
    <row r="111" spans="1:6" x14ac:dyDescent="0.2">
      <c r="A111" s="98" t="s">
        <v>201</v>
      </c>
      <c r="B111" s="76">
        <v>0.85</v>
      </c>
      <c r="C111" s="195" t="s">
        <v>266</v>
      </c>
      <c r="D111" s="74"/>
      <c r="E111" s="76"/>
      <c r="F111" s="75"/>
    </row>
    <row r="112" spans="1:6" x14ac:dyDescent="0.2">
      <c r="A112" s="98" t="s">
        <v>202</v>
      </c>
      <c r="B112" s="76">
        <v>1.02</v>
      </c>
      <c r="C112" s="195" t="s">
        <v>266</v>
      </c>
      <c r="D112" s="74"/>
      <c r="E112" s="76"/>
      <c r="F112" s="75"/>
    </row>
    <row r="113" spans="1:6" x14ac:dyDescent="0.2">
      <c r="A113" s="98" t="s">
        <v>203</v>
      </c>
      <c r="B113" s="76">
        <v>6.47</v>
      </c>
      <c r="C113" s="195" t="s">
        <v>266</v>
      </c>
      <c r="D113" s="74"/>
      <c r="E113" s="76"/>
      <c r="F113" s="75"/>
    </row>
    <row r="114" spans="1:6" x14ac:dyDescent="0.2">
      <c r="A114" s="98" t="s">
        <v>182</v>
      </c>
      <c r="B114" s="76">
        <v>10</v>
      </c>
      <c r="C114" s="195" t="s">
        <v>266</v>
      </c>
      <c r="D114" s="74"/>
      <c r="E114" s="76"/>
      <c r="F114" s="75"/>
    </row>
    <row r="115" spans="1:6" x14ac:dyDescent="0.2">
      <c r="A115" s="98" t="s">
        <v>156</v>
      </c>
      <c r="B115" s="76">
        <v>0.26</v>
      </c>
      <c r="C115" s="195" t="s">
        <v>266</v>
      </c>
      <c r="D115" s="74"/>
      <c r="E115" s="76"/>
      <c r="F115" s="75"/>
    </row>
    <row r="116" spans="1:6" x14ac:dyDescent="0.2">
      <c r="A116" s="98" t="s">
        <v>157</v>
      </c>
      <c r="B116" s="76">
        <v>2.66</v>
      </c>
      <c r="C116" s="195" t="s">
        <v>266</v>
      </c>
      <c r="D116" s="74"/>
      <c r="E116" s="76"/>
      <c r="F116" s="75"/>
    </row>
    <row r="117" spans="1:6" x14ac:dyDescent="0.2">
      <c r="A117" s="98" t="s">
        <v>204</v>
      </c>
      <c r="B117" s="76">
        <v>7.18</v>
      </c>
      <c r="C117" s="195" t="s">
        <v>266</v>
      </c>
      <c r="D117" s="74"/>
      <c r="E117" s="76"/>
      <c r="F117" s="75"/>
    </row>
    <row r="118" spans="1:6" x14ac:dyDescent="0.2">
      <c r="A118" s="98" t="s">
        <v>237</v>
      </c>
      <c r="B118" s="76">
        <v>0.04</v>
      </c>
      <c r="C118" s="195" t="s">
        <v>266</v>
      </c>
      <c r="D118" s="74"/>
      <c r="E118" s="76"/>
      <c r="F118" s="75"/>
    </row>
    <row r="119" spans="1:6" x14ac:dyDescent="0.2">
      <c r="A119" s="98" t="s">
        <v>248</v>
      </c>
      <c r="B119" s="76">
        <v>4.6100000000000003</v>
      </c>
      <c r="C119" s="195" t="s">
        <v>266</v>
      </c>
      <c r="D119" s="74"/>
      <c r="E119" s="76"/>
      <c r="F119" s="75"/>
    </row>
    <row r="120" spans="1:6" x14ac:dyDescent="0.2">
      <c r="A120" s="98" t="s">
        <v>245</v>
      </c>
      <c r="B120" s="76">
        <v>20.55</v>
      </c>
      <c r="C120" s="195" t="s">
        <v>266</v>
      </c>
      <c r="D120" s="74"/>
      <c r="E120" s="76"/>
      <c r="F120" s="75"/>
    </row>
    <row r="121" spans="1:6" x14ac:dyDescent="0.2">
      <c r="A121" s="98" t="s">
        <v>249</v>
      </c>
      <c r="B121" s="76">
        <v>3.81</v>
      </c>
      <c r="C121" s="195" t="s">
        <v>266</v>
      </c>
      <c r="D121" s="74"/>
      <c r="E121" s="76"/>
      <c r="F121" s="75"/>
    </row>
    <row r="122" spans="1:6" x14ac:dyDescent="0.2">
      <c r="A122" s="98" t="s">
        <v>247</v>
      </c>
      <c r="B122" s="76">
        <v>13.9</v>
      </c>
      <c r="C122" s="195" t="s">
        <v>266</v>
      </c>
      <c r="D122" s="74"/>
      <c r="E122" s="76"/>
      <c r="F122" s="75"/>
    </row>
    <row r="123" spans="1:6" x14ac:dyDescent="0.2">
      <c r="A123" s="98" t="s">
        <v>159</v>
      </c>
      <c r="B123" s="76">
        <v>3.73</v>
      </c>
      <c r="C123" s="195" t="s">
        <v>266</v>
      </c>
      <c r="D123" s="74"/>
      <c r="E123" s="76"/>
      <c r="F123" s="75"/>
    </row>
    <row r="124" spans="1:6" x14ac:dyDescent="0.2">
      <c r="A124" s="98" t="s">
        <v>161</v>
      </c>
      <c r="B124" s="76">
        <v>0.86</v>
      </c>
      <c r="C124" s="195" t="s">
        <v>266</v>
      </c>
      <c r="D124" s="74"/>
      <c r="E124" s="76"/>
      <c r="F124" s="75"/>
    </row>
    <row r="125" spans="1:6" x14ac:dyDescent="0.2">
      <c r="A125" s="98" t="s">
        <v>177</v>
      </c>
      <c r="B125" s="76">
        <v>19.399999999999999</v>
      </c>
      <c r="C125" s="195" t="s">
        <v>266</v>
      </c>
      <c r="D125" s="74"/>
      <c r="E125" s="76"/>
      <c r="F125" s="75"/>
    </row>
    <row r="126" spans="1:6" x14ac:dyDescent="0.2">
      <c r="A126" s="98" t="s">
        <v>124</v>
      </c>
      <c r="B126" s="76">
        <v>0.22</v>
      </c>
      <c r="C126" s="195" t="s">
        <v>266</v>
      </c>
      <c r="D126" s="74"/>
      <c r="E126" s="76"/>
      <c r="F126" s="75"/>
    </row>
    <row r="127" spans="1:6" x14ac:dyDescent="0.2">
      <c r="A127" s="98" t="s">
        <v>125</v>
      </c>
      <c r="B127" s="76">
        <v>0.53</v>
      </c>
      <c r="C127" s="195" t="s">
        <v>266</v>
      </c>
      <c r="D127" s="74"/>
      <c r="E127" s="76"/>
      <c r="F127" s="75"/>
    </row>
    <row r="128" spans="1:6" x14ac:dyDescent="0.2">
      <c r="A128" s="98" t="s">
        <v>126</v>
      </c>
      <c r="B128" s="76">
        <v>4.12</v>
      </c>
      <c r="C128" s="195" t="s">
        <v>266</v>
      </c>
      <c r="D128" s="74"/>
      <c r="E128" s="76"/>
      <c r="F128" s="75"/>
    </row>
    <row r="129" spans="1:6" x14ac:dyDescent="0.2">
      <c r="A129" s="98" t="s">
        <v>127</v>
      </c>
      <c r="B129" s="76">
        <v>0.48</v>
      </c>
      <c r="C129" s="195" t="s">
        <v>266</v>
      </c>
      <c r="D129" s="74"/>
      <c r="E129" s="76"/>
      <c r="F129" s="75"/>
    </row>
    <row r="130" spans="1:6" x14ac:dyDescent="0.2">
      <c r="A130" s="98" t="s">
        <v>166</v>
      </c>
      <c r="B130" s="76">
        <v>10.71</v>
      </c>
      <c r="C130" s="195" t="s">
        <v>266</v>
      </c>
      <c r="D130" s="74"/>
      <c r="E130" s="76"/>
      <c r="F130" s="75"/>
    </row>
    <row r="131" spans="1:6" x14ac:dyDescent="0.2">
      <c r="A131" s="98" t="s">
        <v>132</v>
      </c>
      <c r="B131" s="76">
        <v>29.97</v>
      </c>
      <c r="C131" s="195" t="s">
        <v>266</v>
      </c>
      <c r="D131" s="74"/>
      <c r="E131" s="76"/>
      <c r="F131" s="75"/>
    </row>
    <row r="132" spans="1:6" x14ac:dyDescent="0.2">
      <c r="A132" s="98" t="s">
        <v>147</v>
      </c>
      <c r="B132" s="76">
        <v>0.74</v>
      </c>
      <c r="C132" s="195" t="s">
        <v>266</v>
      </c>
      <c r="D132" s="74"/>
      <c r="E132" s="76"/>
      <c r="F132" s="75"/>
    </row>
    <row r="133" spans="1:6" x14ac:dyDescent="0.2">
      <c r="A133" s="98" t="s">
        <v>133</v>
      </c>
      <c r="B133" s="76">
        <v>7.13</v>
      </c>
      <c r="C133" s="195" t="s">
        <v>266</v>
      </c>
      <c r="D133" s="74"/>
      <c r="E133" s="76"/>
      <c r="F133" s="75"/>
    </row>
    <row r="134" spans="1:6" x14ac:dyDescent="0.2">
      <c r="A134" s="98" t="s">
        <v>134</v>
      </c>
      <c r="B134" s="76">
        <v>0</v>
      </c>
      <c r="C134" s="195" t="s">
        <v>266</v>
      </c>
      <c r="D134" s="74"/>
      <c r="E134" s="76"/>
      <c r="F134" s="75"/>
    </row>
    <row r="135" spans="1:6" x14ac:dyDescent="0.2">
      <c r="A135" s="98" t="s">
        <v>178</v>
      </c>
      <c r="B135" s="76">
        <v>13.83</v>
      </c>
      <c r="C135" s="195" t="s">
        <v>266</v>
      </c>
      <c r="D135" s="74"/>
      <c r="E135" s="76"/>
      <c r="F135" s="75"/>
    </row>
    <row r="136" spans="1:6" x14ac:dyDescent="0.2">
      <c r="A136" s="98" t="s">
        <v>137</v>
      </c>
      <c r="B136" s="76">
        <v>1.34</v>
      </c>
      <c r="C136" s="195" t="s">
        <v>266</v>
      </c>
      <c r="D136" s="74"/>
      <c r="E136" s="76"/>
      <c r="F136" s="75"/>
    </row>
    <row r="137" spans="1:6" x14ac:dyDescent="0.2">
      <c r="A137" s="98" t="s">
        <v>138</v>
      </c>
      <c r="B137" s="76">
        <v>0.04</v>
      </c>
      <c r="C137" s="195" t="s">
        <v>266</v>
      </c>
      <c r="D137" s="74"/>
      <c r="E137" s="76"/>
      <c r="F137" s="75"/>
    </row>
    <row r="138" spans="1:6" x14ac:dyDescent="0.2">
      <c r="A138" s="98" t="s">
        <v>140</v>
      </c>
      <c r="B138" s="76">
        <v>3.76</v>
      </c>
      <c r="C138" s="195" t="s">
        <v>266</v>
      </c>
      <c r="D138" s="74"/>
      <c r="E138" s="76"/>
      <c r="F138" s="75"/>
    </row>
    <row r="139" spans="1:6" x14ac:dyDescent="0.2">
      <c r="A139" s="98" t="s">
        <v>205</v>
      </c>
      <c r="B139" s="76">
        <v>0.74</v>
      </c>
      <c r="C139" s="195" t="s">
        <v>266</v>
      </c>
      <c r="D139" s="74"/>
      <c r="E139" s="76"/>
      <c r="F139" s="75"/>
    </row>
    <row r="140" spans="1:6" x14ac:dyDescent="0.2">
      <c r="A140" s="98" t="s">
        <v>144</v>
      </c>
      <c r="B140" s="76">
        <v>33.200000000000003</v>
      </c>
      <c r="C140" s="195" t="s">
        <v>266</v>
      </c>
      <c r="D140" s="74"/>
      <c r="E140" s="76"/>
      <c r="F140" s="75"/>
    </row>
    <row r="141" spans="1:6" x14ac:dyDescent="0.2">
      <c r="A141" s="98" t="s">
        <v>145</v>
      </c>
      <c r="B141" s="76">
        <v>15.15</v>
      </c>
      <c r="C141" s="195" t="s">
        <v>266</v>
      </c>
      <c r="D141" s="74"/>
      <c r="E141" s="76"/>
      <c r="F141" s="75"/>
    </row>
    <row r="142" spans="1:6" x14ac:dyDescent="0.2">
      <c r="A142" s="98" t="s">
        <v>151</v>
      </c>
      <c r="B142" s="76">
        <v>1.73</v>
      </c>
      <c r="C142" s="195" t="s">
        <v>266</v>
      </c>
      <c r="D142" s="74"/>
      <c r="E142" s="76"/>
      <c r="F142" s="75"/>
    </row>
    <row r="143" spans="1:6" x14ac:dyDescent="0.2">
      <c r="A143" s="98" t="s">
        <v>153</v>
      </c>
      <c r="B143" s="76">
        <v>1.69</v>
      </c>
      <c r="C143" s="195" t="s">
        <v>266</v>
      </c>
      <c r="D143" s="74"/>
      <c r="E143" s="76"/>
      <c r="F143" s="75"/>
    </row>
    <row r="144" spans="1:6" x14ac:dyDescent="0.2">
      <c r="A144" s="98" t="s">
        <v>154</v>
      </c>
      <c r="B144" s="76">
        <v>6.06</v>
      </c>
      <c r="C144" s="195" t="s">
        <v>266</v>
      </c>
      <c r="D144" s="74"/>
      <c r="E144" s="76"/>
      <c r="F144" s="75"/>
    </row>
    <row r="145" spans="1:6" x14ac:dyDescent="0.2">
      <c r="A145" s="98" t="s">
        <v>179</v>
      </c>
      <c r="B145" s="76">
        <v>15.43</v>
      </c>
      <c r="C145" s="195" t="s">
        <v>266</v>
      </c>
      <c r="D145" s="74"/>
      <c r="E145" s="76"/>
      <c r="F145" s="75"/>
    </row>
    <row r="146" spans="1:6" x14ac:dyDescent="0.2">
      <c r="A146" s="98" t="s">
        <v>155</v>
      </c>
      <c r="B146" s="76">
        <v>35.14</v>
      </c>
      <c r="C146" s="195" t="s">
        <v>266</v>
      </c>
      <c r="D146" s="74"/>
      <c r="E146" s="76"/>
      <c r="F146" s="75"/>
    </row>
    <row r="147" spans="1:6" x14ac:dyDescent="0.2">
      <c r="A147" s="98" t="s">
        <v>259</v>
      </c>
      <c r="B147" s="76">
        <v>0.44</v>
      </c>
      <c r="C147" s="195" t="s">
        <v>266</v>
      </c>
      <c r="D147" s="74"/>
      <c r="E147" s="76"/>
      <c r="F147" s="75"/>
    </row>
    <row r="148" spans="1:6" x14ac:dyDescent="0.2">
      <c r="A148" s="98" t="s">
        <v>193</v>
      </c>
      <c r="B148" s="76">
        <v>10.32</v>
      </c>
      <c r="C148" s="195" t="s">
        <v>266</v>
      </c>
      <c r="D148" s="74"/>
      <c r="E148" s="76"/>
      <c r="F148" s="75"/>
    </row>
    <row r="149" spans="1:6" x14ac:dyDescent="0.2">
      <c r="A149" s="98" t="s">
        <v>180</v>
      </c>
      <c r="B149" s="76">
        <v>12.63</v>
      </c>
      <c r="C149" s="195" t="s">
        <v>266</v>
      </c>
      <c r="D149" s="74"/>
      <c r="E149" s="76"/>
      <c r="F149" s="75"/>
    </row>
    <row r="150" spans="1:6" x14ac:dyDescent="0.2">
      <c r="A150" s="98" t="s">
        <v>206</v>
      </c>
      <c r="B150" s="76">
        <v>11.2</v>
      </c>
      <c r="C150" s="195" t="s">
        <v>266</v>
      </c>
      <c r="D150" s="74"/>
      <c r="E150" s="76"/>
      <c r="F150" s="75"/>
    </row>
    <row r="151" spans="1:6" x14ac:dyDescent="0.2">
      <c r="A151" s="98" t="s">
        <v>181</v>
      </c>
      <c r="B151" s="76">
        <v>10.26</v>
      </c>
      <c r="C151" s="195" t="s">
        <v>266</v>
      </c>
      <c r="D151" s="74"/>
      <c r="E151" s="76"/>
      <c r="F151" s="75"/>
    </row>
    <row r="152" spans="1:6" x14ac:dyDescent="0.2">
      <c r="A152" s="98" t="s">
        <v>182</v>
      </c>
      <c r="B152" s="76">
        <v>1.58</v>
      </c>
      <c r="C152" s="195" t="s">
        <v>266</v>
      </c>
      <c r="D152" s="74"/>
      <c r="E152" s="76"/>
      <c r="F152" s="75"/>
    </row>
    <row r="153" spans="1:6" x14ac:dyDescent="0.2">
      <c r="A153" s="98" t="s">
        <v>183</v>
      </c>
      <c r="B153" s="76">
        <v>5.24</v>
      </c>
      <c r="C153" s="195" t="s">
        <v>266</v>
      </c>
      <c r="D153" s="74"/>
      <c r="E153" s="76"/>
      <c r="F153" s="75"/>
    </row>
    <row r="154" spans="1:6" x14ac:dyDescent="0.2">
      <c r="A154" s="98" t="s">
        <v>184</v>
      </c>
      <c r="B154" s="76">
        <v>4.43</v>
      </c>
      <c r="C154" s="195" t="s">
        <v>266</v>
      </c>
      <c r="D154" s="74"/>
      <c r="E154" s="76"/>
      <c r="F154" s="75"/>
    </row>
    <row r="155" spans="1:6" x14ac:dyDescent="0.2">
      <c r="A155" s="98" t="s">
        <v>225</v>
      </c>
      <c r="B155" s="76">
        <v>17.34</v>
      </c>
      <c r="C155" s="195" t="s">
        <v>266</v>
      </c>
      <c r="D155" s="74"/>
      <c r="E155" s="76"/>
      <c r="F155" s="75"/>
    </row>
    <row r="156" spans="1:6" x14ac:dyDescent="0.2">
      <c r="A156" s="98" t="s">
        <v>233</v>
      </c>
      <c r="B156" s="76">
        <v>2.19</v>
      </c>
      <c r="C156" s="195" t="s">
        <v>266</v>
      </c>
      <c r="D156" s="74"/>
      <c r="E156" s="76"/>
      <c r="F156" s="75"/>
    </row>
    <row r="157" spans="1:6" x14ac:dyDescent="0.2">
      <c r="A157" s="98" t="s">
        <v>157</v>
      </c>
      <c r="B157" s="76">
        <v>2.38</v>
      </c>
      <c r="C157" s="195" t="s">
        <v>266</v>
      </c>
      <c r="D157" s="74"/>
      <c r="E157" s="76"/>
      <c r="F157" s="75"/>
    </row>
    <row r="158" spans="1:6" x14ac:dyDescent="0.2">
      <c r="A158" s="98" t="s">
        <v>234</v>
      </c>
      <c r="B158" s="76">
        <v>3.05</v>
      </c>
      <c r="C158" s="195" t="s">
        <v>266</v>
      </c>
      <c r="D158" s="74"/>
      <c r="E158" s="76"/>
      <c r="F158" s="75"/>
    </row>
    <row r="159" spans="1:6" x14ac:dyDescent="0.2">
      <c r="A159" s="98" t="s">
        <v>235</v>
      </c>
      <c r="B159" s="76">
        <v>39.85</v>
      </c>
      <c r="C159" s="195" t="s">
        <v>266</v>
      </c>
      <c r="D159" s="74"/>
      <c r="E159" s="76"/>
      <c r="F159" s="75"/>
    </row>
    <row r="160" spans="1:6" x14ac:dyDescent="0.2">
      <c r="A160" s="98" t="s">
        <v>236</v>
      </c>
      <c r="B160" s="76">
        <v>0.53</v>
      </c>
      <c r="C160" s="195" t="s">
        <v>266</v>
      </c>
      <c r="D160" s="74"/>
      <c r="E160" s="76"/>
      <c r="F160" s="75"/>
    </row>
    <row r="161" spans="1:6" x14ac:dyDescent="0.2">
      <c r="A161" s="98" t="s">
        <v>246</v>
      </c>
      <c r="B161" s="76">
        <v>8.2100000000000009</v>
      </c>
      <c r="C161" s="195" t="s">
        <v>266</v>
      </c>
      <c r="D161" s="74"/>
      <c r="E161" s="76"/>
      <c r="F161" s="75"/>
    </row>
    <row r="162" spans="1:6" x14ac:dyDescent="0.2">
      <c r="A162" s="98" t="s">
        <v>238</v>
      </c>
      <c r="B162" s="76">
        <v>30.21</v>
      </c>
      <c r="C162" s="195" t="s">
        <v>266</v>
      </c>
      <c r="D162" s="74"/>
      <c r="E162" s="76"/>
      <c r="F162" s="75"/>
    </row>
    <row r="163" spans="1:6" x14ac:dyDescent="0.2">
      <c r="A163" s="98" t="s">
        <v>241</v>
      </c>
      <c r="B163" s="76">
        <v>6.84</v>
      </c>
      <c r="C163" s="195" t="s">
        <v>266</v>
      </c>
      <c r="D163" s="74"/>
      <c r="E163" s="76"/>
      <c r="F163" s="75"/>
    </row>
    <row r="164" spans="1:6" x14ac:dyDescent="0.2">
      <c r="A164" s="98" t="s">
        <v>242</v>
      </c>
      <c r="B164" s="76">
        <v>2.5099999999999998</v>
      </c>
      <c r="C164" s="195" t="s">
        <v>266</v>
      </c>
      <c r="D164" s="74"/>
      <c r="E164" s="76"/>
      <c r="F164" s="75"/>
    </row>
    <row r="165" spans="1:6" x14ac:dyDescent="0.2">
      <c r="A165" s="98" t="s">
        <v>158</v>
      </c>
      <c r="B165" s="76">
        <v>0</v>
      </c>
      <c r="C165" s="195" t="s">
        <v>266</v>
      </c>
      <c r="D165" s="74"/>
      <c r="E165" s="76"/>
      <c r="F165" s="75"/>
    </row>
    <row r="166" spans="1:6" x14ac:dyDescent="0.2">
      <c r="A166" s="98" t="s">
        <v>159</v>
      </c>
      <c r="B166" s="76">
        <v>12.08</v>
      </c>
      <c r="C166" s="195" t="s">
        <v>266</v>
      </c>
      <c r="D166" s="74"/>
      <c r="E166" s="76"/>
      <c r="F166" s="75"/>
    </row>
    <row r="167" spans="1:6" x14ac:dyDescent="0.2">
      <c r="A167" s="98" t="s">
        <v>185</v>
      </c>
      <c r="B167" s="76">
        <v>20.010000000000002</v>
      </c>
      <c r="C167" s="195" t="s">
        <v>266</v>
      </c>
      <c r="D167" s="74"/>
      <c r="E167" s="76"/>
      <c r="F167" s="75"/>
    </row>
    <row r="168" spans="1:6" x14ac:dyDescent="0.2">
      <c r="A168" s="98" t="s">
        <v>160</v>
      </c>
      <c r="B168" s="76">
        <v>24.59</v>
      </c>
      <c r="C168" s="195" t="s">
        <v>266</v>
      </c>
      <c r="D168" s="74"/>
      <c r="E168" s="76"/>
      <c r="F168" s="75"/>
    </row>
    <row r="169" spans="1:6" x14ac:dyDescent="0.2">
      <c r="A169" s="98" t="s">
        <v>162</v>
      </c>
      <c r="B169" s="76">
        <v>8.1</v>
      </c>
      <c r="C169" s="195" t="s">
        <v>266</v>
      </c>
      <c r="D169" s="74"/>
      <c r="E169" s="76"/>
      <c r="F169" s="75"/>
    </row>
    <row r="170" spans="1:6" x14ac:dyDescent="0.2">
      <c r="A170" s="98" t="s">
        <v>210</v>
      </c>
      <c r="B170" s="76">
        <v>0.79</v>
      </c>
      <c r="C170" s="195" t="s">
        <v>266</v>
      </c>
      <c r="D170" s="74"/>
      <c r="E170" s="76"/>
      <c r="F170" s="75"/>
    </row>
    <row r="171" spans="1:6" x14ac:dyDescent="0.2">
      <c r="A171" s="98" t="s">
        <v>140</v>
      </c>
      <c r="B171" s="76">
        <v>28.59</v>
      </c>
      <c r="C171" s="195" t="s">
        <v>266</v>
      </c>
      <c r="D171" s="74"/>
      <c r="E171" s="76"/>
      <c r="F171" s="75"/>
    </row>
    <row r="172" spans="1:6" x14ac:dyDescent="0.2">
      <c r="A172" s="98" t="s">
        <v>145</v>
      </c>
      <c r="B172" s="76">
        <v>2.92</v>
      </c>
      <c r="C172" s="195" t="s">
        <v>266</v>
      </c>
      <c r="D172" s="74"/>
      <c r="E172" s="76"/>
      <c r="F172" s="75"/>
    </row>
    <row r="173" spans="1:6" x14ac:dyDescent="0.2">
      <c r="A173" s="98" t="s">
        <v>211</v>
      </c>
      <c r="B173" s="76">
        <v>4.16</v>
      </c>
      <c r="C173" s="195" t="s">
        <v>266</v>
      </c>
      <c r="D173" s="74"/>
      <c r="E173" s="76"/>
      <c r="F173" s="75"/>
    </row>
    <row r="174" spans="1:6" x14ac:dyDescent="0.2">
      <c r="A174" s="98" t="s">
        <v>235</v>
      </c>
      <c r="B174" s="76">
        <v>65.66</v>
      </c>
      <c r="C174" s="195" t="s">
        <v>266</v>
      </c>
      <c r="D174" s="74"/>
      <c r="E174" s="76"/>
      <c r="F174" s="75"/>
    </row>
    <row r="175" spans="1:6" x14ac:dyDescent="0.2">
      <c r="A175" s="98" t="s">
        <v>150</v>
      </c>
      <c r="B175" s="76">
        <v>6.67</v>
      </c>
      <c r="C175" s="195" t="s">
        <v>266</v>
      </c>
      <c r="D175" s="74"/>
      <c r="E175" s="76"/>
      <c r="F175" s="75"/>
    </row>
    <row r="176" spans="1:6" x14ac:dyDescent="0.2">
      <c r="A176" s="98" t="s">
        <v>159</v>
      </c>
      <c r="B176" s="76">
        <v>12.94</v>
      </c>
      <c r="C176" s="195" t="s">
        <v>266</v>
      </c>
      <c r="D176" s="74"/>
      <c r="E176" s="76"/>
      <c r="F176" s="75"/>
    </row>
    <row r="177" spans="1:6" x14ac:dyDescent="0.2">
      <c r="A177" s="98" t="s">
        <v>253</v>
      </c>
      <c r="B177" s="76">
        <v>0.3</v>
      </c>
      <c r="C177" s="195" t="s">
        <v>266</v>
      </c>
      <c r="D177" s="74"/>
      <c r="E177" s="76"/>
      <c r="F177" s="75"/>
    </row>
    <row r="178" spans="1:6" x14ac:dyDescent="0.2">
      <c r="A178" s="98" t="s">
        <v>177</v>
      </c>
      <c r="B178" s="76">
        <v>1.22</v>
      </c>
      <c r="C178" s="195" t="s">
        <v>266</v>
      </c>
      <c r="D178" s="74"/>
      <c r="E178" s="76"/>
      <c r="F178" s="75"/>
    </row>
    <row r="179" spans="1:6" x14ac:dyDescent="0.2">
      <c r="A179" s="98" t="s">
        <v>124</v>
      </c>
      <c r="B179" s="76">
        <v>0.06</v>
      </c>
      <c r="C179" s="195" t="s">
        <v>266</v>
      </c>
      <c r="D179" s="74"/>
      <c r="E179" s="76"/>
      <c r="F179" s="75"/>
    </row>
    <row r="180" spans="1:6" x14ac:dyDescent="0.2">
      <c r="A180" s="98" t="s">
        <v>125</v>
      </c>
      <c r="B180" s="76">
        <v>0.06</v>
      </c>
      <c r="C180" s="195" t="s">
        <v>266</v>
      </c>
      <c r="D180" s="74"/>
      <c r="E180" s="76"/>
      <c r="F180" s="75"/>
    </row>
    <row r="181" spans="1:6" x14ac:dyDescent="0.2">
      <c r="A181" s="98" t="s">
        <v>126</v>
      </c>
      <c r="B181" s="76">
        <v>0.15</v>
      </c>
      <c r="C181" s="195" t="s">
        <v>266</v>
      </c>
      <c r="D181" s="74"/>
      <c r="E181" s="76"/>
      <c r="F181" s="75"/>
    </row>
    <row r="182" spans="1:6" x14ac:dyDescent="0.2">
      <c r="A182" s="98" t="s">
        <v>130</v>
      </c>
      <c r="B182" s="76">
        <v>0.1</v>
      </c>
      <c r="C182" s="195" t="s">
        <v>266</v>
      </c>
      <c r="D182" s="74"/>
      <c r="E182" s="76"/>
      <c r="F182" s="75"/>
    </row>
    <row r="183" spans="1:6" x14ac:dyDescent="0.2">
      <c r="A183" s="98" t="s">
        <v>166</v>
      </c>
      <c r="B183" s="76">
        <v>0.62</v>
      </c>
      <c r="C183" s="195" t="s">
        <v>266</v>
      </c>
      <c r="D183" s="74"/>
      <c r="E183" s="76"/>
      <c r="F183" s="75"/>
    </row>
    <row r="184" spans="1:6" x14ac:dyDescent="0.2">
      <c r="A184" s="98" t="s">
        <v>132</v>
      </c>
      <c r="B184" s="76">
        <v>3.77</v>
      </c>
      <c r="C184" s="195" t="s">
        <v>266</v>
      </c>
      <c r="D184" s="74"/>
      <c r="E184" s="76"/>
      <c r="F184" s="75"/>
    </row>
    <row r="185" spans="1:6" x14ac:dyDescent="0.2">
      <c r="A185" s="98" t="s">
        <v>147</v>
      </c>
      <c r="B185" s="76">
        <v>0.1</v>
      </c>
      <c r="C185" s="195" t="s">
        <v>266</v>
      </c>
      <c r="D185" s="74"/>
      <c r="E185" s="76"/>
      <c r="F185" s="75"/>
    </row>
    <row r="186" spans="1:6" x14ac:dyDescent="0.2">
      <c r="A186" s="98" t="s">
        <v>148</v>
      </c>
      <c r="B186" s="76">
        <v>0.43</v>
      </c>
      <c r="C186" s="195" t="s">
        <v>266</v>
      </c>
      <c r="D186" s="74"/>
      <c r="E186" s="76"/>
      <c r="F186" s="75"/>
    </row>
    <row r="187" spans="1:6" x14ac:dyDescent="0.2">
      <c r="A187" s="98" t="s">
        <v>178</v>
      </c>
      <c r="B187" s="76">
        <v>1.27</v>
      </c>
      <c r="C187" s="195" t="s">
        <v>266</v>
      </c>
      <c r="D187" s="74"/>
      <c r="E187" s="76"/>
      <c r="F187" s="75"/>
    </row>
    <row r="188" spans="1:6" x14ac:dyDescent="0.2">
      <c r="A188" s="98" t="s">
        <v>136</v>
      </c>
      <c r="B188" s="76">
        <v>0.39</v>
      </c>
      <c r="C188" s="195" t="s">
        <v>266</v>
      </c>
      <c r="D188" s="74"/>
      <c r="E188" s="76"/>
      <c r="F188" s="75"/>
    </row>
    <row r="189" spans="1:6" x14ac:dyDescent="0.2">
      <c r="A189" s="98" t="s">
        <v>137</v>
      </c>
      <c r="B189" s="76">
        <v>0.31</v>
      </c>
      <c r="C189" s="195" t="s">
        <v>266</v>
      </c>
      <c r="D189" s="74"/>
      <c r="E189" s="76"/>
      <c r="F189" s="75"/>
    </row>
    <row r="190" spans="1:6" x14ac:dyDescent="0.2">
      <c r="A190" s="98" t="s">
        <v>138</v>
      </c>
      <c r="B190" s="76">
        <v>0</v>
      </c>
      <c r="C190" s="195" t="s">
        <v>266</v>
      </c>
      <c r="D190" s="74"/>
      <c r="E190" s="76"/>
      <c r="F190" s="75"/>
    </row>
    <row r="191" spans="1:6" x14ac:dyDescent="0.2">
      <c r="A191" s="98" t="s">
        <v>139</v>
      </c>
      <c r="B191" s="76">
        <v>0.01</v>
      </c>
      <c r="C191" s="195" t="s">
        <v>266</v>
      </c>
      <c r="D191" s="74"/>
      <c r="E191" s="76"/>
      <c r="F191" s="75"/>
    </row>
    <row r="192" spans="1:6" x14ac:dyDescent="0.2">
      <c r="A192" s="98" t="s">
        <v>140</v>
      </c>
      <c r="B192" s="76">
        <v>0.33</v>
      </c>
      <c r="C192" s="195" t="s">
        <v>266</v>
      </c>
      <c r="D192" s="74"/>
      <c r="E192" s="76"/>
      <c r="F192" s="75"/>
    </row>
    <row r="193" spans="1:6" x14ac:dyDescent="0.2">
      <c r="A193" s="98" t="s">
        <v>143</v>
      </c>
      <c r="B193" s="76">
        <v>1.06</v>
      </c>
      <c r="C193" s="195" t="s">
        <v>266</v>
      </c>
      <c r="D193" s="74"/>
      <c r="E193" s="76"/>
      <c r="F193" s="75"/>
    </row>
    <row r="194" spans="1:6" x14ac:dyDescent="0.2">
      <c r="A194" s="98" t="s">
        <v>146</v>
      </c>
      <c r="B194" s="76">
        <v>0.83</v>
      </c>
      <c r="C194" s="195" t="s">
        <v>266</v>
      </c>
      <c r="D194" s="74"/>
      <c r="E194" s="76"/>
      <c r="F194" s="75"/>
    </row>
    <row r="195" spans="1:6" x14ac:dyDescent="0.2">
      <c r="A195" s="98" t="s">
        <v>144</v>
      </c>
      <c r="B195" s="76">
        <v>2.3199999999999998</v>
      </c>
      <c r="C195" s="195" t="s">
        <v>266</v>
      </c>
      <c r="D195" s="74"/>
      <c r="E195" s="76"/>
      <c r="F195" s="75"/>
    </row>
    <row r="196" spans="1:6" x14ac:dyDescent="0.2">
      <c r="A196" s="98" t="s">
        <v>145</v>
      </c>
      <c r="B196" s="76">
        <v>3.58</v>
      </c>
      <c r="C196" s="195" t="s">
        <v>266</v>
      </c>
      <c r="D196" s="74"/>
      <c r="E196" s="76"/>
      <c r="F196" s="75"/>
    </row>
    <row r="197" spans="1:6" x14ac:dyDescent="0.2">
      <c r="A197" s="98" t="s">
        <v>151</v>
      </c>
      <c r="B197" s="76">
        <v>0.08</v>
      </c>
      <c r="C197" s="195" t="s">
        <v>266</v>
      </c>
      <c r="D197" s="74"/>
      <c r="E197" s="76"/>
      <c r="F197" s="75"/>
    </row>
    <row r="198" spans="1:6" x14ac:dyDescent="0.2">
      <c r="A198" s="98" t="s">
        <v>153</v>
      </c>
      <c r="B198" s="76">
        <v>0.39</v>
      </c>
      <c r="C198" s="195" t="s">
        <v>266</v>
      </c>
      <c r="D198" s="74"/>
      <c r="E198" s="76"/>
      <c r="F198" s="75"/>
    </row>
    <row r="199" spans="1:6" x14ac:dyDescent="0.2">
      <c r="A199" s="98" t="s">
        <v>154</v>
      </c>
      <c r="B199" s="76">
        <v>0.37</v>
      </c>
      <c r="C199" s="195" t="s">
        <v>266</v>
      </c>
      <c r="D199" s="74"/>
      <c r="E199" s="76"/>
      <c r="F199" s="75"/>
    </row>
    <row r="200" spans="1:6" x14ac:dyDescent="0.2">
      <c r="A200" s="98" t="s">
        <v>179</v>
      </c>
      <c r="B200" s="76">
        <v>1.46</v>
      </c>
      <c r="C200" s="195" t="s">
        <v>266</v>
      </c>
      <c r="D200" s="74"/>
      <c r="E200" s="76"/>
      <c r="F200" s="75"/>
    </row>
    <row r="201" spans="1:6" x14ac:dyDescent="0.2">
      <c r="A201" s="98" t="s">
        <v>155</v>
      </c>
      <c r="B201" s="76">
        <v>2.52</v>
      </c>
      <c r="C201" s="195" t="s">
        <v>266</v>
      </c>
      <c r="D201" s="74"/>
      <c r="E201" s="76"/>
      <c r="F201" s="75"/>
    </row>
    <row r="202" spans="1:6" x14ac:dyDescent="0.2">
      <c r="A202" s="98" t="s">
        <v>193</v>
      </c>
      <c r="B202" s="76">
        <v>0.68</v>
      </c>
      <c r="C202" s="195" t="s">
        <v>266</v>
      </c>
      <c r="D202" s="74"/>
      <c r="E202" s="76"/>
      <c r="F202" s="75"/>
    </row>
    <row r="203" spans="1:6" x14ac:dyDescent="0.2">
      <c r="A203" s="98" t="s">
        <v>180</v>
      </c>
      <c r="B203" s="76">
        <v>1.1499999999999999</v>
      </c>
      <c r="C203" s="195" t="s">
        <v>266</v>
      </c>
      <c r="D203" s="74"/>
      <c r="E203" s="76"/>
      <c r="F203" s="75"/>
    </row>
    <row r="204" spans="1:6" x14ac:dyDescent="0.2">
      <c r="A204" s="98" t="s">
        <v>181</v>
      </c>
      <c r="B204" s="76">
        <v>0.74</v>
      </c>
      <c r="C204" s="195" t="s">
        <v>266</v>
      </c>
      <c r="D204" s="74"/>
      <c r="E204" s="76"/>
      <c r="F204" s="75"/>
    </row>
    <row r="205" spans="1:6" x14ac:dyDescent="0.2">
      <c r="A205" s="98" t="s">
        <v>182</v>
      </c>
      <c r="B205" s="76">
        <v>0.24</v>
      </c>
      <c r="C205" s="195" t="s">
        <v>266</v>
      </c>
      <c r="D205" s="74"/>
      <c r="E205" s="76"/>
      <c r="F205" s="75"/>
    </row>
    <row r="206" spans="1:6" x14ac:dyDescent="0.2">
      <c r="A206" s="98" t="s">
        <v>183</v>
      </c>
      <c r="B206" s="76">
        <v>0.52</v>
      </c>
      <c r="C206" s="195" t="s">
        <v>266</v>
      </c>
      <c r="D206" s="74"/>
      <c r="E206" s="76"/>
      <c r="F206" s="75"/>
    </row>
    <row r="207" spans="1:6" x14ac:dyDescent="0.2">
      <c r="A207" s="98" t="s">
        <v>184</v>
      </c>
      <c r="B207" s="76">
        <v>0.39</v>
      </c>
      <c r="C207" s="195" t="s">
        <v>266</v>
      </c>
      <c r="D207" s="74"/>
      <c r="E207" s="76"/>
      <c r="F207" s="75"/>
    </row>
    <row r="208" spans="1:6" x14ac:dyDescent="0.2">
      <c r="A208" s="98" t="s">
        <v>233</v>
      </c>
      <c r="B208" s="76">
        <v>0.04</v>
      </c>
      <c r="C208" s="195" t="s">
        <v>266</v>
      </c>
      <c r="D208" s="74"/>
      <c r="E208" s="76"/>
      <c r="F208" s="75"/>
    </row>
    <row r="209" spans="1:6" x14ac:dyDescent="0.2">
      <c r="A209" s="98" t="s">
        <v>157</v>
      </c>
      <c r="B209" s="76">
        <v>0.12</v>
      </c>
      <c r="C209" s="195" t="s">
        <v>266</v>
      </c>
      <c r="D209" s="74"/>
      <c r="E209" s="76"/>
      <c r="F209" s="75"/>
    </row>
    <row r="210" spans="1:6" x14ac:dyDescent="0.2">
      <c r="A210" s="98" t="s">
        <v>234</v>
      </c>
      <c r="B210" s="76">
        <v>0.45</v>
      </c>
      <c r="C210" s="195" t="s">
        <v>266</v>
      </c>
      <c r="D210" s="74"/>
      <c r="E210" s="76"/>
      <c r="F210" s="75"/>
    </row>
    <row r="211" spans="1:6" x14ac:dyDescent="0.2">
      <c r="A211" s="98" t="s">
        <v>235</v>
      </c>
      <c r="B211" s="76">
        <v>3.61</v>
      </c>
      <c r="C211" s="195" t="s">
        <v>266</v>
      </c>
      <c r="D211" s="74"/>
      <c r="E211" s="76"/>
      <c r="F211" s="75"/>
    </row>
    <row r="212" spans="1:6" x14ac:dyDescent="0.2">
      <c r="A212" s="98" t="s">
        <v>236</v>
      </c>
      <c r="B212" s="76">
        <v>0.04</v>
      </c>
      <c r="C212" s="195" t="s">
        <v>266</v>
      </c>
      <c r="D212" s="74"/>
      <c r="E212" s="76"/>
      <c r="F212" s="75"/>
    </row>
    <row r="213" spans="1:6" x14ac:dyDescent="0.2">
      <c r="A213" s="98" t="s">
        <v>237</v>
      </c>
      <c r="B213" s="76">
        <v>0.01</v>
      </c>
      <c r="C213" s="195" t="s">
        <v>266</v>
      </c>
      <c r="D213" s="74"/>
      <c r="E213" s="76"/>
      <c r="F213" s="75"/>
    </row>
    <row r="214" spans="1:6" x14ac:dyDescent="0.2">
      <c r="A214" s="98" t="s">
        <v>238</v>
      </c>
      <c r="B214" s="76">
        <v>2.34</v>
      </c>
      <c r="C214" s="195" t="s">
        <v>266</v>
      </c>
      <c r="D214" s="74"/>
      <c r="E214" s="76"/>
      <c r="F214" s="75"/>
    </row>
    <row r="215" spans="1:6" x14ac:dyDescent="0.2">
      <c r="A215" s="98" t="s">
        <v>239</v>
      </c>
      <c r="B215" s="76">
        <v>0.28000000000000003</v>
      </c>
      <c r="C215" s="195" t="s">
        <v>266</v>
      </c>
      <c r="D215" s="74"/>
      <c r="E215" s="76"/>
      <c r="F215" s="75"/>
    </row>
    <row r="216" spans="1:6" x14ac:dyDescent="0.2">
      <c r="A216" s="98" t="s">
        <v>240</v>
      </c>
      <c r="B216" s="76">
        <v>0.54</v>
      </c>
      <c r="C216" s="195" t="s">
        <v>266</v>
      </c>
      <c r="D216" s="74"/>
      <c r="E216" s="76"/>
      <c r="F216" s="75"/>
    </row>
    <row r="217" spans="1:6" x14ac:dyDescent="0.2">
      <c r="A217" s="98" t="s">
        <v>241</v>
      </c>
      <c r="B217" s="76">
        <v>0.33</v>
      </c>
      <c r="C217" s="195" t="s">
        <v>266</v>
      </c>
      <c r="D217" s="74"/>
      <c r="E217" s="76"/>
      <c r="F217" s="75"/>
    </row>
    <row r="218" spans="1:6" x14ac:dyDescent="0.2">
      <c r="A218" s="98" t="s">
        <v>242</v>
      </c>
      <c r="B218" s="76">
        <v>0.19</v>
      </c>
      <c r="C218" s="195" t="s">
        <v>266</v>
      </c>
      <c r="D218" s="74"/>
      <c r="E218" s="76"/>
      <c r="F218" s="75"/>
    </row>
    <row r="219" spans="1:6" x14ac:dyDescent="0.2">
      <c r="A219" s="98" t="s">
        <v>149</v>
      </c>
      <c r="B219" s="76">
        <v>0.05</v>
      </c>
      <c r="C219" s="195" t="s">
        <v>266</v>
      </c>
      <c r="D219" s="74"/>
      <c r="E219" s="76"/>
      <c r="F219" s="75"/>
    </row>
    <row r="220" spans="1:6" x14ac:dyDescent="0.2">
      <c r="A220" s="98" t="s">
        <v>159</v>
      </c>
      <c r="B220" s="76">
        <v>1.35</v>
      </c>
      <c r="C220" s="195" t="s">
        <v>266</v>
      </c>
      <c r="D220" s="74"/>
      <c r="E220" s="76"/>
      <c r="F220" s="75"/>
    </row>
    <row r="221" spans="1:6" x14ac:dyDescent="0.2">
      <c r="A221" s="98" t="s">
        <v>185</v>
      </c>
      <c r="B221" s="76">
        <v>1.27</v>
      </c>
      <c r="C221" s="195" t="s">
        <v>266</v>
      </c>
      <c r="D221" s="74"/>
      <c r="E221" s="76"/>
      <c r="F221" s="75"/>
    </row>
    <row r="222" spans="1:6" x14ac:dyDescent="0.2">
      <c r="A222" s="98" t="s">
        <v>160</v>
      </c>
      <c r="B222" s="76">
        <v>3.42</v>
      </c>
      <c r="C222" s="195" t="s">
        <v>266</v>
      </c>
      <c r="D222" s="74"/>
      <c r="E222" s="76"/>
      <c r="F222" s="75"/>
    </row>
    <row r="223" spans="1:6" x14ac:dyDescent="0.2">
      <c r="A223" s="98" t="s">
        <v>162</v>
      </c>
      <c r="B223" s="76">
        <v>0.7</v>
      </c>
      <c r="C223" s="195" t="s">
        <v>266</v>
      </c>
      <c r="D223" s="74"/>
      <c r="E223" s="76"/>
      <c r="F223" s="75"/>
    </row>
    <row r="224" spans="1:6" ht="15" x14ac:dyDescent="0.25">
      <c r="A224" s="57" t="s">
        <v>163</v>
      </c>
      <c r="B224" s="58">
        <f>SUM(B71:B223)</f>
        <v>956.05000000000007</v>
      </c>
      <c r="C224" s="4">
        <f>B224/$B$227</f>
        <v>3.3448167361805914E-4</v>
      </c>
    </row>
    <row r="225" spans="1:6" ht="15" x14ac:dyDescent="0.25">
      <c r="A225" s="61" t="s">
        <v>164</v>
      </c>
      <c r="B225" s="62">
        <f>B224+B69</f>
        <v>1478.4</v>
      </c>
      <c r="C225" s="63">
        <f t="shared" ref="C225:C227" si="4">B225/$B$227</f>
        <v>5.1722996315772037E-4</v>
      </c>
    </row>
    <row r="226" spans="1:6" ht="15" x14ac:dyDescent="0.25">
      <c r="A226" s="77" t="s">
        <v>165</v>
      </c>
      <c r="B226" s="78">
        <f>B225+B57+B30+B16</f>
        <v>2360.1082092370475</v>
      </c>
      <c r="C226" s="56">
        <f t="shared" si="4"/>
        <v>8.257025717748319E-4</v>
      </c>
    </row>
    <row r="227" spans="1:6" ht="15" x14ac:dyDescent="0.25">
      <c r="A227" s="55" t="s">
        <v>30</v>
      </c>
      <c r="B227" s="137">
        <f>'נספח 3 - כללי'!B178+'נספח 3-אג"ח'!B39+'נספח 3 - מניות'!B86</f>
        <v>2858303.0862602741</v>
      </c>
      <c r="C227" s="56">
        <f t="shared" si="4"/>
        <v>1</v>
      </c>
      <c r="F227" s="54"/>
    </row>
    <row r="228" spans="1:6" x14ac:dyDescent="0.2">
      <c r="A228" s="215" t="s">
        <v>267</v>
      </c>
      <c r="B228" s="215"/>
      <c r="C228" s="215"/>
      <c r="F228" s="54"/>
    </row>
  </sheetData>
  <mergeCells count="3">
    <mergeCell ref="A1:C1"/>
    <mergeCell ref="A2:C2"/>
    <mergeCell ref="A228:C228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185"/>
  <sheetViews>
    <sheetView rightToLeft="1" topLeftCell="A172" zoomScale="80" zoomScaleNormal="80" workbookViewId="0">
      <selection activeCell="A180" sqref="A180"/>
    </sheetView>
  </sheetViews>
  <sheetFormatPr defaultRowHeight="14.25" x14ac:dyDescent="0.2"/>
  <cols>
    <col min="1" max="1" width="53.25" style="54" bestFit="1" customWidth="1"/>
    <col min="2" max="2" width="18" style="54" customWidth="1"/>
    <col min="3" max="3" width="13.875" style="54" customWidth="1"/>
    <col min="4" max="4" width="12" style="54" bestFit="1" customWidth="1"/>
    <col min="5" max="254" width="9" style="54"/>
    <col min="255" max="255" width="10.75" style="54" bestFit="1" customWidth="1"/>
    <col min="256" max="256" width="9" style="54" bestFit="1" customWidth="1"/>
    <col min="257" max="257" width="53.25" style="54" bestFit="1" customWidth="1"/>
    <col min="258" max="258" width="11.75" style="54" bestFit="1" customWidth="1"/>
    <col min="259" max="259" width="11.875" style="54" bestFit="1" customWidth="1"/>
    <col min="260" max="510" width="9" style="54"/>
    <col min="511" max="511" width="10.75" style="54" bestFit="1" customWidth="1"/>
    <col min="512" max="512" width="9" style="54" bestFit="1" customWidth="1"/>
    <col min="513" max="513" width="53.25" style="54" bestFit="1" customWidth="1"/>
    <col min="514" max="514" width="11.75" style="54" bestFit="1" customWidth="1"/>
    <col min="515" max="515" width="11.875" style="54" bestFit="1" customWidth="1"/>
    <col min="516" max="766" width="9" style="54"/>
    <col min="767" max="767" width="10.75" style="54" bestFit="1" customWidth="1"/>
    <col min="768" max="768" width="9" style="54" bestFit="1" customWidth="1"/>
    <col min="769" max="769" width="53.25" style="54" bestFit="1" customWidth="1"/>
    <col min="770" max="770" width="11.75" style="54" bestFit="1" customWidth="1"/>
    <col min="771" max="771" width="11.875" style="54" bestFit="1" customWidth="1"/>
    <col min="772" max="1022" width="9" style="54"/>
    <col min="1023" max="1023" width="10.75" style="54" bestFit="1" customWidth="1"/>
    <col min="1024" max="1024" width="9" style="54" bestFit="1" customWidth="1"/>
    <col min="1025" max="1025" width="53.25" style="54" bestFit="1" customWidth="1"/>
    <col min="1026" max="1026" width="11.75" style="54" bestFit="1" customWidth="1"/>
    <col min="1027" max="1027" width="11.875" style="54" bestFit="1" customWidth="1"/>
    <col min="1028" max="1278" width="9" style="54"/>
    <col min="1279" max="1279" width="10.75" style="54" bestFit="1" customWidth="1"/>
    <col min="1280" max="1280" width="9" style="54" bestFit="1" customWidth="1"/>
    <col min="1281" max="1281" width="53.25" style="54" bestFit="1" customWidth="1"/>
    <col min="1282" max="1282" width="11.75" style="54" bestFit="1" customWidth="1"/>
    <col min="1283" max="1283" width="11.875" style="54" bestFit="1" customWidth="1"/>
    <col min="1284" max="1534" width="9" style="54"/>
    <col min="1535" max="1535" width="10.75" style="54" bestFit="1" customWidth="1"/>
    <col min="1536" max="1536" width="9" style="54" bestFit="1" customWidth="1"/>
    <col min="1537" max="1537" width="53.25" style="54" bestFit="1" customWidth="1"/>
    <col min="1538" max="1538" width="11.75" style="54" bestFit="1" customWidth="1"/>
    <col min="1539" max="1539" width="11.875" style="54" bestFit="1" customWidth="1"/>
    <col min="1540" max="1790" width="9" style="54"/>
    <col min="1791" max="1791" width="10.75" style="54" bestFit="1" customWidth="1"/>
    <col min="1792" max="1792" width="9" style="54" bestFit="1" customWidth="1"/>
    <col min="1793" max="1793" width="53.25" style="54" bestFit="1" customWidth="1"/>
    <col min="1794" max="1794" width="11.75" style="54" bestFit="1" customWidth="1"/>
    <col min="1795" max="1795" width="11.875" style="54" bestFit="1" customWidth="1"/>
    <col min="1796" max="2046" width="9" style="54"/>
    <col min="2047" max="2047" width="10.75" style="54" bestFit="1" customWidth="1"/>
    <col min="2048" max="2048" width="9" style="54" bestFit="1" customWidth="1"/>
    <col min="2049" max="2049" width="53.25" style="54" bestFit="1" customWidth="1"/>
    <col min="2050" max="2050" width="11.75" style="54" bestFit="1" customWidth="1"/>
    <col min="2051" max="2051" width="11.875" style="54" bestFit="1" customWidth="1"/>
    <col min="2052" max="2302" width="9" style="54"/>
    <col min="2303" max="2303" width="10.75" style="54" bestFit="1" customWidth="1"/>
    <col min="2304" max="2304" width="9" style="54" bestFit="1" customWidth="1"/>
    <col min="2305" max="2305" width="53.25" style="54" bestFit="1" customWidth="1"/>
    <col min="2306" max="2306" width="11.75" style="54" bestFit="1" customWidth="1"/>
    <col min="2307" max="2307" width="11.875" style="54" bestFit="1" customWidth="1"/>
    <col min="2308" max="2558" width="9" style="54"/>
    <col min="2559" max="2559" width="10.75" style="54" bestFit="1" customWidth="1"/>
    <col min="2560" max="2560" width="9" style="54" bestFit="1" customWidth="1"/>
    <col min="2561" max="2561" width="53.25" style="54" bestFit="1" customWidth="1"/>
    <col min="2562" max="2562" width="11.75" style="54" bestFit="1" customWidth="1"/>
    <col min="2563" max="2563" width="11.875" style="54" bestFit="1" customWidth="1"/>
    <col min="2564" max="2814" width="9" style="54"/>
    <col min="2815" max="2815" width="10.75" style="54" bestFit="1" customWidth="1"/>
    <col min="2816" max="2816" width="9" style="54" bestFit="1" customWidth="1"/>
    <col min="2817" max="2817" width="53.25" style="54" bestFit="1" customWidth="1"/>
    <col min="2818" max="2818" width="11.75" style="54" bestFit="1" customWidth="1"/>
    <col min="2819" max="2819" width="11.875" style="54" bestFit="1" customWidth="1"/>
    <col min="2820" max="3070" width="9" style="54"/>
    <col min="3071" max="3071" width="10.75" style="54" bestFit="1" customWidth="1"/>
    <col min="3072" max="3072" width="9" style="54" bestFit="1" customWidth="1"/>
    <col min="3073" max="3073" width="53.25" style="54" bestFit="1" customWidth="1"/>
    <col min="3074" max="3074" width="11.75" style="54" bestFit="1" customWidth="1"/>
    <col min="3075" max="3075" width="11.875" style="54" bestFit="1" customWidth="1"/>
    <col min="3076" max="3326" width="9" style="54"/>
    <col min="3327" max="3327" width="10.75" style="54" bestFit="1" customWidth="1"/>
    <col min="3328" max="3328" width="9" style="54" bestFit="1" customWidth="1"/>
    <col min="3329" max="3329" width="53.25" style="54" bestFit="1" customWidth="1"/>
    <col min="3330" max="3330" width="11.75" style="54" bestFit="1" customWidth="1"/>
    <col min="3331" max="3331" width="11.875" style="54" bestFit="1" customWidth="1"/>
    <col min="3332" max="3582" width="9" style="54"/>
    <col min="3583" max="3583" width="10.75" style="54" bestFit="1" customWidth="1"/>
    <col min="3584" max="3584" width="9" style="54" bestFit="1" customWidth="1"/>
    <col min="3585" max="3585" width="53.25" style="54" bestFit="1" customWidth="1"/>
    <col min="3586" max="3586" width="11.75" style="54" bestFit="1" customWidth="1"/>
    <col min="3587" max="3587" width="11.875" style="54" bestFit="1" customWidth="1"/>
    <col min="3588" max="3838" width="9" style="54"/>
    <col min="3839" max="3839" width="10.75" style="54" bestFit="1" customWidth="1"/>
    <col min="3840" max="3840" width="9" style="54" bestFit="1" customWidth="1"/>
    <col min="3841" max="3841" width="53.25" style="54" bestFit="1" customWidth="1"/>
    <col min="3842" max="3842" width="11.75" style="54" bestFit="1" customWidth="1"/>
    <col min="3843" max="3843" width="11.875" style="54" bestFit="1" customWidth="1"/>
    <col min="3844" max="4094" width="9" style="54"/>
    <col min="4095" max="4095" width="10.75" style="54" bestFit="1" customWidth="1"/>
    <col min="4096" max="4096" width="9" style="54" bestFit="1" customWidth="1"/>
    <col min="4097" max="4097" width="53.25" style="54" bestFit="1" customWidth="1"/>
    <col min="4098" max="4098" width="11.75" style="54" bestFit="1" customWidth="1"/>
    <col min="4099" max="4099" width="11.875" style="54" bestFit="1" customWidth="1"/>
    <col min="4100" max="4350" width="9" style="54"/>
    <col min="4351" max="4351" width="10.75" style="54" bestFit="1" customWidth="1"/>
    <col min="4352" max="4352" width="9" style="54" bestFit="1" customWidth="1"/>
    <col min="4353" max="4353" width="53.25" style="54" bestFit="1" customWidth="1"/>
    <col min="4354" max="4354" width="11.75" style="54" bestFit="1" customWidth="1"/>
    <col min="4355" max="4355" width="11.875" style="54" bestFit="1" customWidth="1"/>
    <col min="4356" max="4606" width="9" style="54"/>
    <col min="4607" max="4607" width="10.75" style="54" bestFit="1" customWidth="1"/>
    <col min="4608" max="4608" width="9" style="54" bestFit="1" customWidth="1"/>
    <col min="4609" max="4609" width="53.25" style="54" bestFit="1" customWidth="1"/>
    <col min="4610" max="4610" width="11.75" style="54" bestFit="1" customWidth="1"/>
    <col min="4611" max="4611" width="11.875" style="54" bestFit="1" customWidth="1"/>
    <col min="4612" max="4862" width="9" style="54"/>
    <col min="4863" max="4863" width="10.75" style="54" bestFit="1" customWidth="1"/>
    <col min="4864" max="4864" width="9" style="54" bestFit="1" customWidth="1"/>
    <col min="4865" max="4865" width="53.25" style="54" bestFit="1" customWidth="1"/>
    <col min="4866" max="4866" width="11.75" style="54" bestFit="1" customWidth="1"/>
    <col min="4867" max="4867" width="11.875" style="54" bestFit="1" customWidth="1"/>
    <col min="4868" max="5118" width="9" style="54"/>
    <col min="5119" max="5119" width="10.75" style="54" bestFit="1" customWidth="1"/>
    <col min="5120" max="5120" width="9" style="54" bestFit="1" customWidth="1"/>
    <col min="5121" max="5121" width="53.25" style="54" bestFit="1" customWidth="1"/>
    <col min="5122" max="5122" width="11.75" style="54" bestFit="1" customWidth="1"/>
    <col min="5123" max="5123" width="11.875" style="54" bestFit="1" customWidth="1"/>
    <col min="5124" max="5374" width="9" style="54"/>
    <col min="5375" max="5375" width="10.75" style="54" bestFit="1" customWidth="1"/>
    <col min="5376" max="5376" width="9" style="54" bestFit="1" customWidth="1"/>
    <col min="5377" max="5377" width="53.25" style="54" bestFit="1" customWidth="1"/>
    <col min="5378" max="5378" width="11.75" style="54" bestFit="1" customWidth="1"/>
    <col min="5379" max="5379" width="11.875" style="54" bestFit="1" customWidth="1"/>
    <col min="5380" max="5630" width="9" style="54"/>
    <col min="5631" max="5631" width="10.75" style="54" bestFit="1" customWidth="1"/>
    <col min="5632" max="5632" width="9" style="54" bestFit="1" customWidth="1"/>
    <col min="5633" max="5633" width="53.25" style="54" bestFit="1" customWidth="1"/>
    <col min="5634" max="5634" width="11.75" style="54" bestFit="1" customWidth="1"/>
    <col min="5635" max="5635" width="11.875" style="54" bestFit="1" customWidth="1"/>
    <col min="5636" max="5886" width="9" style="54"/>
    <col min="5887" max="5887" width="10.75" style="54" bestFit="1" customWidth="1"/>
    <col min="5888" max="5888" width="9" style="54" bestFit="1" customWidth="1"/>
    <col min="5889" max="5889" width="53.25" style="54" bestFit="1" customWidth="1"/>
    <col min="5890" max="5890" width="11.75" style="54" bestFit="1" customWidth="1"/>
    <col min="5891" max="5891" width="11.875" style="54" bestFit="1" customWidth="1"/>
    <col min="5892" max="6142" width="9" style="54"/>
    <col min="6143" max="6143" width="10.75" style="54" bestFit="1" customWidth="1"/>
    <col min="6144" max="6144" width="9" style="54" bestFit="1" customWidth="1"/>
    <col min="6145" max="6145" width="53.25" style="54" bestFit="1" customWidth="1"/>
    <col min="6146" max="6146" width="11.75" style="54" bestFit="1" customWidth="1"/>
    <col min="6147" max="6147" width="11.875" style="54" bestFit="1" customWidth="1"/>
    <col min="6148" max="6398" width="9" style="54"/>
    <col min="6399" max="6399" width="10.75" style="54" bestFit="1" customWidth="1"/>
    <col min="6400" max="6400" width="9" style="54" bestFit="1" customWidth="1"/>
    <col min="6401" max="6401" width="53.25" style="54" bestFit="1" customWidth="1"/>
    <col min="6402" max="6402" width="11.75" style="54" bestFit="1" customWidth="1"/>
    <col min="6403" max="6403" width="11.875" style="54" bestFit="1" customWidth="1"/>
    <col min="6404" max="6654" width="9" style="54"/>
    <col min="6655" max="6655" width="10.75" style="54" bestFit="1" customWidth="1"/>
    <col min="6656" max="6656" width="9" style="54" bestFit="1" customWidth="1"/>
    <col min="6657" max="6657" width="53.25" style="54" bestFit="1" customWidth="1"/>
    <col min="6658" max="6658" width="11.75" style="54" bestFit="1" customWidth="1"/>
    <col min="6659" max="6659" width="11.875" style="54" bestFit="1" customWidth="1"/>
    <col min="6660" max="6910" width="9" style="54"/>
    <col min="6911" max="6911" width="10.75" style="54" bestFit="1" customWidth="1"/>
    <col min="6912" max="6912" width="9" style="54" bestFit="1" customWidth="1"/>
    <col min="6913" max="6913" width="53.25" style="54" bestFit="1" customWidth="1"/>
    <col min="6914" max="6914" width="11.75" style="54" bestFit="1" customWidth="1"/>
    <col min="6915" max="6915" width="11.875" style="54" bestFit="1" customWidth="1"/>
    <col min="6916" max="7166" width="9" style="54"/>
    <col min="7167" max="7167" width="10.75" style="54" bestFit="1" customWidth="1"/>
    <col min="7168" max="7168" width="9" style="54" bestFit="1" customWidth="1"/>
    <col min="7169" max="7169" width="53.25" style="54" bestFit="1" customWidth="1"/>
    <col min="7170" max="7170" width="11.75" style="54" bestFit="1" customWidth="1"/>
    <col min="7171" max="7171" width="11.875" style="54" bestFit="1" customWidth="1"/>
    <col min="7172" max="7422" width="9" style="54"/>
    <col min="7423" max="7423" width="10.75" style="54" bestFit="1" customWidth="1"/>
    <col min="7424" max="7424" width="9" style="54" bestFit="1" customWidth="1"/>
    <col min="7425" max="7425" width="53.25" style="54" bestFit="1" customWidth="1"/>
    <col min="7426" max="7426" width="11.75" style="54" bestFit="1" customWidth="1"/>
    <col min="7427" max="7427" width="11.875" style="54" bestFit="1" customWidth="1"/>
    <col min="7428" max="7678" width="9" style="54"/>
    <col min="7679" max="7679" width="10.75" style="54" bestFit="1" customWidth="1"/>
    <col min="7680" max="7680" width="9" style="54" bestFit="1" customWidth="1"/>
    <col min="7681" max="7681" width="53.25" style="54" bestFit="1" customWidth="1"/>
    <col min="7682" max="7682" width="11.75" style="54" bestFit="1" customWidth="1"/>
    <col min="7683" max="7683" width="11.875" style="54" bestFit="1" customWidth="1"/>
    <col min="7684" max="7934" width="9" style="54"/>
    <col min="7935" max="7935" width="10.75" style="54" bestFit="1" customWidth="1"/>
    <col min="7936" max="7936" width="9" style="54" bestFit="1" customWidth="1"/>
    <col min="7937" max="7937" width="53.25" style="54" bestFit="1" customWidth="1"/>
    <col min="7938" max="7938" width="11.75" style="54" bestFit="1" customWidth="1"/>
    <col min="7939" max="7939" width="11.875" style="54" bestFit="1" customWidth="1"/>
    <col min="7940" max="8190" width="9" style="54"/>
    <col min="8191" max="8191" width="10.75" style="54" bestFit="1" customWidth="1"/>
    <col min="8192" max="8192" width="9" style="54" bestFit="1" customWidth="1"/>
    <col min="8193" max="8193" width="53.25" style="54" bestFit="1" customWidth="1"/>
    <col min="8194" max="8194" width="11.75" style="54" bestFit="1" customWidth="1"/>
    <col min="8195" max="8195" width="11.875" style="54" bestFit="1" customWidth="1"/>
    <col min="8196" max="8446" width="9" style="54"/>
    <col min="8447" max="8447" width="10.75" style="54" bestFit="1" customWidth="1"/>
    <col min="8448" max="8448" width="9" style="54" bestFit="1" customWidth="1"/>
    <col min="8449" max="8449" width="53.25" style="54" bestFit="1" customWidth="1"/>
    <col min="8450" max="8450" width="11.75" style="54" bestFit="1" customWidth="1"/>
    <col min="8451" max="8451" width="11.875" style="54" bestFit="1" customWidth="1"/>
    <col min="8452" max="8702" width="9" style="54"/>
    <col min="8703" max="8703" width="10.75" style="54" bestFit="1" customWidth="1"/>
    <col min="8704" max="8704" width="9" style="54" bestFit="1" customWidth="1"/>
    <col min="8705" max="8705" width="53.25" style="54" bestFit="1" customWidth="1"/>
    <col min="8706" max="8706" width="11.75" style="54" bestFit="1" customWidth="1"/>
    <col min="8707" max="8707" width="11.875" style="54" bestFit="1" customWidth="1"/>
    <col min="8708" max="8958" width="9" style="54"/>
    <col min="8959" max="8959" width="10.75" style="54" bestFit="1" customWidth="1"/>
    <col min="8960" max="8960" width="9" style="54" bestFit="1" customWidth="1"/>
    <col min="8961" max="8961" width="53.25" style="54" bestFit="1" customWidth="1"/>
    <col min="8962" max="8962" width="11.75" style="54" bestFit="1" customWidth="1"/>
    <col min="8963" max="8963" width="11.875" style="54" bestFit="1" customWidth="1"/>
    <col min="8964" max="9214" width="9" style="54"/>
    <col min="9215" max="9215" width="10.75" style="54" bestFit="1" customWidth="1"/>
    <col min="9216" max="9216" width="9" style="54" bestFit="1" customWidth="1"/>
    <col min="9217" max="9217" width="53.25" style="54" bestFit="1" customWidth="1"/>
    <col min="9218" max="9218" width="11.75" style="54" bestFit="1" customWidth="1"/>
    <col min="9219" max="9219" width="11.875" style="54" bestFit="1" customWidth="1"/>
    <col min="9220" max="9470" width="9" style="54"/>
    <col min="9471" max="9471" width="10.75" style="54" bestFit="1" customWidth="1"/>
    <col min="9472" max="9472" width="9" style="54" bestFit="1" customWidth="1"/>
    <col min="9473" max="9473" width="53.25" style="54" bestFit="1" customWidth="1"/>
    <col min="9474" max="9474" width="11.75" style="54" bestFit="1" customWidth="1"/>
    <col min="9475" max="9475" width="11.875" style="54" bestFit="1" customWidth="1"/>
    <col min="9476" max="9726" width="9" style="54"/>
    <col min="9727" max="9727" width="10.75" style="54" bestFit="1" customWidth="1"/>
    <col min="9728" max="9728" width="9" style="54" bestFit="1" customWidth="1"/>
    <col min="9729" max="9729" width="53.25" style="54" bestFit="1" customWidth="1"/>
    <col min="9730" max="9730" width="11.75" style="54" bestFit="1" customWidth="1"/>
    <col min="9731" max="9731" width="11.875" style="54" bestFit="1" customWidth="1"/>
    <col min="9732" max="9982" width="9" style="54"/>
    <col min="9983" max="9983" width="10.75" style="54" bestFit="1" customWidth="1"/>
    <col min="9984" max="9984" width="9" style="54" bestFit="1" customWidth="1"/>
    <col min="9985" max="9985" width="53.25" style="54" bestFit="1" customWidth="1"/>
    <col min="9986" max="9986" width="11.75" style="54" bestFit="1" customWidth="1"/>
    <col min="9987" max="9987" width="11.875" style="54" bestFit="1" customWidth="1"/>
    <col min="9988" max="10238" width="9" style="54"/>
    <col min="10239" max="10239" width="10.75" style="54" bestFit="1" customWidth="1"/>
    <col min="10240" max="10240" width="9" style="54" bestFit="1" customWidth="1"/>
    <col min="10241" max="10241" width="53.25" style="54" bestFit="1" customWidth="1"/>
    <col min="10242" max="10242" width="11.75" style="54" bestFit="1" customWidth="1"/>
    <col min="10243" max="10243" width="11.875" style="54" bestFit="1" customWidth="1"/>
    <col min="10244" max="10494" width="9" style="54"/>
    <col min="10495" max="10495" width="10.75" style="54" bestFit="1" customWidth="1"/>
    <col min="10496" max="10496" width="9" style="54" bestFit="1" customWidth="1"/>
    <col min="10497" max="10497" width="53.25" style="54" bestFit="1" customWidth="1"/>
    <col min="10498" max="10498" width="11.75" style="54" bestFit="1" customWidth="1"/>
    <col min="10499" max="10499" width="11.875" style="54" bestFit="1" customWidth="1"/>
    <col min="10500" max="10750" width="9" style="54"/>
    <col min="10751" max="10751" width="10.75" style="54" bestFit="1" customWidth="1"/>
    <col min="10752" max="10752" width="9" style="54" bestFit="1" customWidth="1"/>
    <col min="10753" max="10753" width="53.25" style="54" bestFit="1" customWidth="1"/>
    <col min="10754" max="10754" width="11.75" style="54" bestFit="1" customWidth="1"/>
    <col min="10755" max="10755" width="11.875" style="54" bestFit="1" customWidth="1"/>
    <col min="10756" max="11006" width="9" style="54"/>
    <col min="11007" max="11007" width="10.75" style="54" bestFit="1" customWidth="1"/>
    <col min="11008" max="11008" width="9" style="54" bestFit="1" customWidth="1"/>
    <col min="11009" max="11009" width="53.25" style="54" bestFit="1" customWidth="1"/>
    <col min="11010" max="11010" width="11.75" style="54" bestFit="1" customWidth="1"/>
    <col min="11011" max="11011" width="11.875" style="54" bestFit="1" customWidth="1"/>
    <col min="11012" max="11262" width="9" style="54"/>
    <col min="11263" max="11263" width="10.75" style="54" bestFit="1" customWidth="1"/>
    <col min="11264" max="11264" width="9" style="54" bestFit="1" customWidth="1"/>
    <col min="11265" max="11265" width="53.25" style="54" bestFit="1" customWidth="1"/>
    <col min="11266" max="11266" width="11.75" style="54" bestFit="1" customWidth="1"/>
    <col min="11267" max="11267" width="11.875" style="54" bestFit="1" customWidth="1"/>
    <col min="11268" max="11518" width="9" style="54"/>
    <col min="11519" max="11519" width="10.75" style="54" bestFit="1" customWidth="1"/>
    <col min="11520" max="11520" width="9" style="54" bestFit="1" customWidth="1"/>
    <col min="11521" max="11521" width="53.25" style="54" bestFit="1" customWidth="1"/>
    <col min="11522" max="11522" width="11.75" style="54" bestFit="1" customWidth="1"/>
    <col min="11523" max="11523" width="11.875" style="54" bestFit="1" customWidth="1"/>
    <col min="11524" max="11774" width="9" style="54"/>
    <col min="11775" max="11775" width="10.75" style="54" bestFit="1" customWidth="1"/>
    <col min="11776" max="11776" width="9" style="54" bestFit="1" customWidth="1"/>
    <col min="11777" max="11777" width="53.25" style="54" bestFit="1" customWidth="1"/>
    <col min="11778" max="11778" width="11.75" style="54" bestFit="1" customWidth="1"/>
    <col min="11779" max="11779" width="11.875" style="54" bestFit="1" customWidth="1"/>
    <col min="11780" max="12030" width="9" style="54"/>
    <col min="12031" max="12031" width="10.75" style="54" bestFit="1" customWidth="1"/>
    <col min="12032" max="12032" width="9" style="54" bestFit="1" customWidth="1"/>
    <col min="12033" max="12033" width="53.25" style="54" bestFit="1" customWidth="1"/>
    <col min="12034" max="12034" width="11.75" style="54" bestFit="1" customWidth="1"/>
    <col min="12035" max="12035" width="11.875" style="54" bestFit="1" customWidth="1"/>
    <col min="12036" max="12286" width="9" style="54"/>
    <col min="12287" max="12287" width="10.75" style="54" bestFit="1" customWidth="1"/>
    <col min="12288" max="12288" width="9" style="54" bestFit="1" customWidth="1"/>
    <col min="12289" max="12289" width="53.25" style="54" bestFit="1" customWidth="1"/>
    <col min="12290" max="12290" width="11.75" style="54" bestFit="1" customWidth="1"/>
    <col min="12291" max="12291" width="11.875" style="54" bestFit="1" customWidth="1"/>
    <col min="12292" max="12542" width="9" style="54"/>
    <col min="12543" max="12543" width="10.75" style="54" bestFit="1" customWidth="1"/>
    <col min="12544" max="12544" width="9" style="54" bestFit="1" customWidth="1"/>
    <col min="12545" max="12545" width="53.25" style="54" bestFit="1" customWidth="1"/>
    <col min="12546" max="12546" width="11.75" style="54" bestFit="1" customWidth="1"/>
    <col min="12547" max="12547" width="11.875" style="54" bestFit="1" customWidth="1"/>
    <col min="12548" max="12798" width="9" style="54"/>
    <col min="12799" max="12799" width="10.75" style="54" bestFit="1" customWidth="1"/>
    <col min="12800" max="12800" width="9" style="54" bestFit="1" customWidth="1"/>
    <col min="12801" max="12801" width="53.25" style="54" bestFit="1" customWidth="1"/>
    <col min="12802" max="12802" width="11.75" style="54" bestFit="1" customWidth="1"/>
    <col min="12803" max="12803" width="11.875" style="54" bestFit="1" customWidth="1"/>
    <col min="12804" max="13054" width="9" style="54"/>
    <col min="13055" max="13055" width="10.75" style="54" bestFit="1" customWidth="1"/>
    <col min="13056" max="13056" width="9" style="54" bestFit="1" customWidth="1"/>
    <col min="13057" max="13057" width="53.25" style="54" bestFit="1" customWidth="1"/>
    <col min="13058" max="13058" width="11.75" style="54" bestFit="1" customWidth="1"/>
    <col min="13059" max="13059" width="11.875" style="54" bestFit="1" customWidth="1"/>
    <col min="13060" max="13310" width="9" style="54"/>
    <col min="13311" max="13311" width="10.75" style="54" bestFit="1" customWidth="1"/>
    <col min="13312" max="13312" width="9" style="54" bestFit="1" customWidth="1"/>
    <col min="13313" max="13313" width="53.25" style="54" bestFit="1" customWidth="1"/>
    <col min="13314" max="13314" width="11.75" style="54" bestFit="1" customWidth="1"/>
    <col min="13315" max="13315" width="11.875" style="54" bestFit="1" customWidth="1"/>
    <col min="13316" max="13566" width="9" style="54"/>
    <col min="13567" max="13567" width="10.75" style="54" bestFit="1" customWidth="1"/>
    <col min="13568" max="13568" width="9" style="54" bestFit="1" customWidth="1"/>
    <col min="13569" max="13569" width="53.25" style="54" bestFit="1" customWidth="1"/>
    <col min="13570" max="13570" width="11.75" style="54" bestFit="1" customWidth="1"/>
    <col min="13571" max="13571" width="11.875" style="54" bestFit="1" customWidth="1"/>
    <col min="13572" max="13822" width="9" style="54"/>
    <col min="13823" max="13823" width="10.75" style="54" bestFit="1" customWidth="1"/>
    <col min="13824" max="13824" width="9" style="54" bestFit="1" customWidth="1"/>
    <col min="13825" max="13825" width="53.25" style="54" bestFit="1" customWidth="1"/>
    <col min="13826" max="13826" width="11.75" style="54" bestFit="1" customWidth="1"/>
    <col min="13827" max="13827" width="11.875" style="54" bestFit="1" customWidth="1"/>
    <col min="13828" max="14078" width="9" style="54"/>
    <col min="14079" max="14079" width="10.75" style="54" bestFit="1" customWidth="1"/>
    <col min="14080" max="14080" width="9" style="54" bestFit="1" customWidth="1"/>
    <col min="14081" max="14081" width="53.25" style="54" bestFit="1" customWidth="1"/>
    <col min="14082" max="14082" width="11.75" style="54" bestFit="1" customWidth="1"/>
    <col min="14083" max="14083" width="11.875" style="54" bestFit="1" customWidth="1"/>
    <col min="14084" max="14334" width="9" style="54"/>
    <col min="14335" max="14335" width="10.75" style="54" bestFit="1" customWidth="1"/>
    <col min="14336" max="14336" width="9" style="54" bestFit="1" customWidth="1"/>
    <col min="14337" max="14337" width="53.25" style="54" bestFit="1" customWidth="1"/>
    <col min="14338" max="14338" width="11.75" style="54" bestFit="1" customWidth="1"/>
    <col min="14339" max="14339" width="11.875" style="54" bestFit="1" customWidth="1"/>
    <col min="14340" max="14590" width="9" style="54"/>
    <col min="14591" max="14591" width="10.75" style="54" bestFit="1" customWidth="1"/>
    <col min="14592" max="14592" width="9" style="54" bestFit="1" customWidth="1"/>
    <col min="14593" max="14593" width="53.25" style="54" bestFit="1" customWidth="1"/>
    <col min="14594" max="14594" width="11.75" style="54" bestFit="1" customWidth="1"/>
    <col min="14595" max="14595" width="11.875" style="54" bestFit="1" customWidth="1"/>
    <col min="14596" max="14846" width="9" style="54"/>
    <col min="14847" max="14847" width="10.75" style="54" bestFit="1" customWidth="1"/>
    <col min="14848" max="14848" width="9" style="54" bestFit="1" customWidth="1"/>
    <col min="14849" max="14849" width="53.25" style="54" bestFit="1" customWidth="1"/>
    <col min="14850" max="14850" width="11.75" style="54" bestFit="1" customWidth="1"/>
    <col min="14851" max="14851" width="11.875" style="54" bestFit="1" customWidth="1"/>
    <col min="14852" max="15102" width="9" style="54"/>
    <col min="15103" max="15103" width="10.75" style="54" bestFit="1" customWidth="1"/>
    <col min="15104" max="15104" width="9" style="54" bestFit="1" customWidth="1"/>
    <col min="15105" max="15105" width="53.25" style="54" bestFit="1" customWidth="1"/>
    <col min="15106" max="15106" width="11.75" style="54" bestFit="1" customWidth="1"/>
    <col min="15107" max="15107" width="11.875" style="54" bestFit="1" customWidth="1"/>
    <col min="15108" max="15358" width="9" style="54"/>
    <col min="15359" max="15359" width="10.75" style="54" bestFit="1" customWidth="1"/>
    <col min="15360" max="15360" width="9" style="54" bestFit="1" customWidth="1"/>
    <col min="15361" max="15361" width="53.25" style="54" bestFit="1" customWidth="1"/>
    <col min="15362" max="15362" width="11.75" style="54" bestFit="1" customWidth="1"/>
    <col min="15363" max="15363" width="11.875" style="54" bestFit="1" customWidth="1"/>
    <col min="15364" max="15614" width="9" style="54"/>
    <col min="15615" max="15615" width="10.75" style="54" bestFit="1" customWidth="1"/>
    <col min="15616" max="15616" width="9" style="54" bestFit="1" customWidth="1"/>
    <col min="15617" max="15617" width="53.25" style="54" bestFit="1" customWidth="1"/>
    <col min="15618" max="15618" width="11.75" style="54" bestFit="1" customWidth="1"/>
    <col min="15619" max="15619" width="11.875" style="54" bestFit="1" customWidth="1"/>
    <col min="15620" max="15870" width="9" style="54"/>
    <col min="15871" max="15871" width="10.75" style="54" bestFit="1" customWidth="1"/>
    <col min="15872" max="15872" width="9" style="54" bestFit="1" customWidth="1"/>
    <col min="15873" max="15873" width="53.25" style="54" bestFit="1" customWidth="1"/>
    <col min="15874" max="15874" width="11.75" style="54" bestFit="1" customWidth="1"/>
    <col min="15875" max="15875" width="11.875" style="54" bestFit="1" customWidth="1"/>
    <col min="15876" max="16126" width="9" style="54"/>
    <col min="16127" max="16127" width="10.75" style="54" bestFit="1" customWidth="1"/>
    <col min="16128" max="16128" width="9" style="54" bestFit="1" customWidth="1"/>
    <col min="16129" max="16129" width="53.25" style="54" bestFit="1" customWidth="1"/>
    <col min="16130" max="16130" width="11.75" style="54" bestFit="1" customWidth="1"/>
    <col min="16131" max="16131" width="11.875" style="54" bestFit="1" customWidth="1"/>
    <col min="16132" max="16384" width="9" style="54"/>
  </cols>
  <sheetData>
    <row r="1" spans="1:11" s="196" customFormat="1" ht="30" customHeight="1" x14ac:dyDescent="0.2">
      <c r="A1" s="209" t="s">
        <v>257</v>
      </c>
      <c r="B1" s="209"/>
      <c r="C1" s="209"/>
      <c r="D1" s="209"/>
      <c r="E1" s="209"/>
      <c r="F1" s="209"/>
      <c r="G1" s="201"/>
      <c r="H1" s="201"/>
      <c r="I1" s="201"/>
      <c r="J1" s="201"/>
      <c r="K1" s="201"/>
    </row>
    <row r="2" spans="1:11" hidden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11" s="48" customFormat="1" x14ac:dyDescent="0.2">
      <c r="A3" s="48" t="s">
        <v>1</v>
      </c>
      <c r="B3" s="48" t="s">
        <v>2</v>
      </c>
      <c r="C3" s="48" t="s">
        <v>3</v>
      </c>
      <c r="D3" s="216" t="s">
        <v>266</v>
      </c>
      <c r="E3" s="216"/>
      <c r="F3" s="216"/>
    </row>
    <row r="4" spans="1:11" s="48" customFormat="1" ht="15" x14ac:dyDescent="0.25">
      <c r="A4" s="55" t="s">
        <v>87</v>
      </c>
      <c r="B4" s="194" t="s">
        <v>266</v>
      </c>
      <c r="C4" s="194" t="s">
        <v>266</v>
      </c>
      <c r="D4" s="216"/>
      <c r="E4" s="216"/>
      <c r="F4" s="216"/>
    </row>
    <row r="5" spans="1:11" s="48" customFormat="1" x14ac:dyDescent="0.2">
      <c r="A5" s="74" t="s">
        <v>217</v>
      </c>
      <c r="B5" s="194">
        <v>0</v>
      </c>
      <c r="C5" s="146">
        <f t="shared" ref="C5:C12" si="0">B5/$B$178</f>
        <v>0</v>
      </c>
      <c r="D5" s="216"/>
      <c r="E5" s="216"/>
      <c r="F5" s="216"/>
    </row>
    <row r="6" spans="1:11" s="48" customFormat="1" x14ac:dyDescent="0.2">
      <c r="A6" s="74" t="s">
        <v>89</v>
      </c>
      <c r="B6" s="161">
        <f>3.16073516701091+2.5</f>
        <v>5.6607351670109098</v>
      </c>
      <c r="C6" s="146">
        <f t="shared" si="0"/>
        <v>2.0605464132442112E-6</v>
      </c>
      <c r="D6" s="216"/>
      <c r="E6" s="216"/>
      <c r="F6" s="216"/>
    </row>
    <row r="7" spans="1:11" s="48" customFormat="1" x14ac:dyDescent="0.2">
      <c r="A7" s="74" t="s">
        <v>92</v>
      </c>
      <c r="B7" s="161">
        <f>32.0953938495273+23.57+25.71+27.45</f>
        <v>108.8253938495273</v>
      </c>
      <c r="C7" s="146">
        <f t="shared" si="0"/>
        <v>3.9613189515265645E-5</v>
      </c>
      <c r="D7" s="216"/>
      <c r="E7" s="216"/>
      <c r="F7" s="216"/>
    </row>
    <row r="8" spans="1:11" s="48" customFormat="1" x14ac:dyDescent="0.2">
      <c r="A8" s="74" t="s">
        <v>218</v>
      </c>
      <c r="B8" s="162">
        <f>18.878+14.39+14.126+12.772</f>
        <v>60.165999999999997</v>
      </c>
      <c r="C8" s="146">
        <f t="shared" si="0"/>
        <v>2.1900836524156768E-5</v>
      </c>
      <c r="D8" s="216"/>
      <c r="E8" s="216"/>
      <c r="F8" s="216"/>
    </row>
    <row r="9" spans="1:11" s="48" customFormat="1" x14ac:dyDescent="0.2">
      <c r="A9" s="74" t="s">
        <v>219</v>
      </c>
      <c r="B9" s="162">
        <f>14.477+10.79+19.751</f>
        <v>45.018000000000001</v>
      </c>
      <c r="C9" s="146">
        <f t="shared" si="0"/>
        <v>1.6386860662907447E-5</v>
      </c>
      <c r="D9" s="216"/>
      <c r="E9" s="216"/>
      <c r="F9" s="216"/>
    </row>
    <row r="10" spans="1:11" s="48" customFormat="1" x14ac:dyDescent="0.2">
      <c r="A10" s="74" t="s">
        <v>220</v>
      </c>
      <c r="B10" s="202">
        <v>0</v>
      </c>
      <c r="C10" s="146">
        <f t="shared" si="0"/>
        <v>0</v>
      </c>
      <c r="D10" s="216"/>
      <c r="E10" s="216"/>
      <c r="F10" s="216"/>
    </row>
    <row r="11" spans="1:11" s="48" customFormat="1" x14ac:dyDescent="0.2">
      <c r="A11" s="74" t="s">
        <v>96</v>
      </c>
      <c r="B11" s="163">
        <f>25.6204302205091+18.85+18.85+24.443</f>
        <v>87.763430220509107</v>
      </c>
      <c r="C11" s="146">
        <f t="shared" si="0"/>
        <v>3.1946490344357439E-5</v>
      </c>
      <c r="D11" s="216"/>
      <c r="E11" s="216"/>
      <c r="F11" s="216"/>
    </row>
    <row r="12" spans="1:11" s="48" customFormat="1" x14ac:dyDescent="0.2">
      <c r="A12" s="74" t="s">
        <v>221</v>
      </c>
      <c r="B12" s="76">
        <f>15.642+11.92+11.705+11.273</f>
        <v>50.539999999999992</v>
      </c>
      <c r="C12" s="146">
        <f t="shared" si="0"/>
        <v>1.8396906524131285E-5</v>
      </c>
      <c r="D12" s="216"/>
      <c r="E12" s="216"/>
      <c r="F12" s="216"/>
    </row>
    <row r="13" spans="1:11" ht="15" x14ac:dyDescent="0.2">
      <c r="A13" s="145" t="s">
        <v>88</v>
      </c>
      <c r="B13" s="162">
        <v>17.286000000000001</v>
      </c>
      <c r="C13" s="146">
        <f>B12/$B$178</f>
        <v>1.8396906524131285E-5</v>
      </c>
      <c r="D13" s="216"/>
      <c r="E13" s="216"/>
      <c r="F13" s="216"/>
    </row>
    <row r="14" spans="1:11" s="48" customFormat="1" ht="15" x14ac:dyDescent="0.2">
      <c r="A14" s="145" t="s">
        <v>173</v>
      </c>
      <c r="B14" s="76">
        <f>3.155+2.93+3</f>
        <v>9.0850000000000009</v>
      </c>
      <c r="C14" s="146">
        <f>B14/$B$178</f>
        <v>3.307002290695148E-6</v>
      </c>
      <c r="D14" s="216"/>
      <c r="E14" s="216"/>
      <c r="F14" s="216"/>
    </row>
    <row r="15" spans="1:11" s="48" customFormat="1" ht="15" x14ac:dyDescent="0.25">
      <c r="A15" s="57" t="s">
        <v>90</v>
      </c>
      <c r="B15" s="58">
        <f>SUM(B5:B14)</f>
        <v>384.34455923704729</v>
      </c>
      <c r="C15" s="59">
        <f>SUM(C12:C14)</f>
        <v>4.0100815338957718E-5</v>
      </c>
      <c r="D15" s="216"/>
      <c r="E15" s="216"/>
      <c r="F15" s="216"/>
    </row>
    <row r="16" spans="1:11" s="48" customFormat="1" ht="15" x14ac:dyDescent="0.25">
      <c r="A16" s="55" t="s">
        <v>91</v>
      </c>
      <c r="B16" s="195" t="s">
        <v>266</v>
      </c>
      <c r="C16" s="193" t="s">
        <v>266</v>
      </c>
      <c r="D16" s="216"/>
      <c r="E16" s="216"/>
      <c r="F16" s="216"/>
    </row>
    <row r="17" spans="1:6" s="48" customFormat="1" x14ac:dyDescent="0.2">
      <c r="A17" s="74" t="s">
        <v>93</v>
      </c>
      <c r="B17" s="76">
        <f>24.45+25.01+18.783+18.554</f>
        <v>86.796999999999997</v>
      </c>
      <c r="C17" s="146">
        <f t="shared" ref="C17:C28" si="1">B17/$B$178</f>
        <v>3.1594703117827927E-5</v>
      </c>
      <c r="D17" s="216"/>
      <c r="E17" s="216"/>
      <c r="F17" s="216"/>
    </row>
    <row r="18" spans="1:6" s="48" customFormat="1" x14ac:dyDescent="0.2">
      <c r="A18" s="74" t="s">
        <v>97</v>
      </c>
      <c r="B18" s="76">
        <f>28+29.17+28.053+27.228</f>
        <v>112.45099999999999</v>
      </c>
      <c r="C18" s="146">
        <f t="shared" si="1"/>
        <v>4.0932935012763897E-5</v>
      </c>
      <c r="D18" s="216"/>
      <c r="E18" s="216"/>
      <c r="F18" s="216"/>
    </row>
    <row r="19" spans="1:6" s="48" customFormat="1" x14ac:dyDescent="0.2">
      <c r="A19" s="74" t="s">
        <v>222</v>
      </c>
      <c r="B19" s="76">
        <f>5.6398+5.77+4.772+4.043</f>
        <v>20.224800000000002</v>
      </c>
      <c r="C19" s="146">
        <f t="shared" si="1"/>
        <v>7.3619658699891275E-6</v>
      </c>
      <c r="D19" s="216"/>
      <c r="E19" s="216"/>
      <c r="F19" s="216"/>
    </row>
    <row r="20" spans="1:6" s="48" customFormat="1" x14ac:dyDescent="0.2">
      <c r="A20" s="74" t="s">
        <v>223</v>
      </c>
      <c r="B20" s="76">
        <f>15.05794+16.67+14.914+3.44</f>
        <v>50.081940000000003</v>
      </c>
      <c r="C20" s="146">
        <f t="shared" si="1"/>
        <v>1.8230169543473522E-5</v>
      </c>
      <c r="D20" s="216"/>
      <c r="E20" s="216"/>
      <c r="F20" s="216"/>
    </row>
    <row r="21" spans="1:6" s="48" customFormat="1" x14ac:dyDescent="0.2">
      <c r="A21" s="74" t="s">
        <v>224</v>
      </c>
      <c r="B21" s="76">
        <f>20.63331+21.07+22.591+20.8</f>
        <v>85.094309999999993</v>
      </c>
      <c r="C21" s="146">
        <f t="shared" si="1"/>
        <v>3.0974912283447772E-5</v>
      </c>
      <c r="D21" s="216"/>
      <c r="E21" s="216"/>
      <c r="F21" s="216"/>
    </row>
    <row r="22" spans="1:6" s="48" customFormat="1" x14ac:dyDescent="0.2">
      <c r="A22" s="74" t="s">
        <v>251</v>
      </c>
      <c r="B22" s="76">
        <f>12.108+3.57</f>
        <v>15.678000000000001</v>
      </c>
      <c r="C22" s="146">
        <f t="shared" si="1"/>
        <v>5.7068994951588914E-6</v>
      </c>
      <c r="D22" s="216"/>
      <c r="E22" s="216"/>
      <c r="F22" s="216"/>
    </row>
    <row r="23" spans="1:6" s="48" customFormat="1" x14ac:dyDescent="0.2">
      <c r="A23" s="74" t="s">
        <v>252</v>
      </c>
      <c r="B23" s="76">
        <v>5.5666000000000002</v>
      </c>
      <c r="C23" s="146">
        <f t="shared" si="1"/>
        <v>2.0262805670207607E-6</v>
      </c>
      <c r="D23" s="216"/>
      <c r="E23" s="216"/>
      <c r="F23" s="216"/>
    </row>
    <row r="24" spans="1:6" s="48" customFormat="1" x14ac:dyDescent="0.2">
      <c r="A24" s="74" t="s">
        <v>94</v>
      </c>
      <c r="B24" s="164">
        <f>16.3+8+8</f>
        <v>32.299999999999997</v>
      </c>
      <c r="C24" s="146">
        <f t="shared" si="1"/>
        <v>1.1757421462790672E-5</v>
      </c>
      <c r="D24" s="216"/>
      <c r="E24" s="216"/>
      <c r="F24" s="216"/>
    </row>
    <row r="25" spans="1:6" s="48" customFormat="1" x14ac:dyDescent="0.2">
      <c r="A25" s="74" t="s">
        <v>95</v>
      </c>
      <c r="B25" s="199">
        <v>0</v>
      </c>
      <c r="C25" s="146">
        <f t="shared" si="1"/>
        <v>0</v>
      </c>
      <c r="D25" s="216"/>
      <c r="E25" s="216"/>
      <c r="F25" s="216"/>
    </row>
    <row r="26" spans="1:6" s="48" customFormat="1" x14ac:dyDescent="0.2">
      <c r="A26" s="74" t="s">
        <v>96</v>
      </c>
      <c r="B26" s="199">
        <v>0</v>
      </c>
      <c r="C26" s="146">
        <f t="shared" si="1"/>
        <v>0</v>
      </c>
      <c r="D26" s="216"/>
      <c r="E26" s="216"/>
      <c r="F26" s="216"/>
    </row>
    <row r="27" spans="1:6" s="48" customFormat="1" x14ac:dyDescent="0.2">
      <c r="A27" s="74" t="s">
        <v>98</v>
      </c>
      <c r="B27" s="199">
        <v>0</v>
      </c>
      <c r="C27" s="146">
        <f t="shared" si="1"/>
        <v>0</v>
      </c>
      <c r="D27" s="216"/>
      <c r="E27" s="216"/>
      <c r="F27" s="216"/>
    </row>
    <row r="28" spans="1:6" s="48" customFormat="1" x14ac:dyDescent="0.2">
      <c r="A28" s="74" t="s">
        <v>97</v>
      </c>
      <c r="B28" s="199">
        <v>0</v>
      </c>
      <c r="C28" s="146">
        <f t="shared" si="1"/>
        <v>0</v>
      </c>
      <c r="D28" s="216"/>
      <c r="E28" s="216"/>
      <c r="F28" s="216"/>
    </row>
    <row r="29" spans="1:6" s="48" customFormat="1" ht="15" x14ac:dyDescent="0.25">
      <c r="A29" s="57" t="s">
        <v>99</v>
      </c>
      <c r="B29" s="58">
        <f>SUM(B17:B28)</f>
        <v>408.19365000000005</v>
      </c>
      <c r="C29" s="59">
        <f>SUM(C17:C28)</f>
        <v>1.4858528735247259E-4</v>
      </c>
      <c r="D29" s="216"/>
      <c r="E29" s="216"/>
      <c r="F29" s="216"/>
    </row>
    <row r="30" spans="1:6" s="48" customFormat="1" ht="15" x14ac:dyDescent="0.25">
      <c r="A30" s="55" t="s">
        <v>100</v>
      </c>
      <c r="B30" s="195" t="s">
        <v>266</v>
      </c>
      <c r="C30" s="195" t="s">
        <v>266</v>
      </c>
      <c r="D30" s="216"/>
      <c r="E30" s="216"/>
      <c r="F30" s="216"/>
    </row>
    <row r="31" spans="1:6" s="48" customFormat="1" x14ac:dyDescent="0.2">
      <c r="A31" s="47" t="s">
        <v>76</v>
      </c>
      <c r="B31" s="60">
        <v>0</v>
      </c>
      <c r="C31" s="56">
        <f>B31/$B$178</f>
        <v>0</v>
      </c>
      <c r="D31" s="216"/>
      <c r="E31" s="216"/>
      <c r="F31" s="216"/>
    </row>
    <row r="32" spans="1:6" s="48" customFormat="1" x14ac:dyDescent="0.2">
      <c r="A32" s="47" t="s">
        <v>77</v>
      </c>
      <c r="B32" s="60">
        <v>0</v>
      </c>
      <c r="C32" s="56">
        <f>B32/$B$178</f>
        <v>0</v>
      </c>
      <c r="D32" s="216"/>
      <c r="E32" s="216"/>
      <c r="F32" s="216"/>
    </row>
    <row r="33" spans="1:6" s="48" customFormat="1" x14ac:dyDescent="0.2">
      <c r="A33" s="47" t="s">
        <v>71</v>
      </c>
      <c r="B33" s="60">
        <v>0</v>
      </c>
      <c r="C33" s="56">
        <f>B33/$B$178</f>
        <v>0</v>
      </c>
      <c r="D33" s="216"/>
      <c r="E33" s="216"/>
      <c r="F33" s="216"/>
    </row>
    <row r="34" spans="1:6" s="48" customFormat="1" ht="15" x14ac:dyDescent="0.25">
      <c r="A34" s="57" t="s">
        <v>101</v>
      </c>
      <c r="B34" s="58">
        <f>SUM(B31:B33)</f>
        <v>0</v>
      </c>
      <c r="C34" s="59">
        <f>B34/$B$178</f>
        <v>0</v>
      </c>
      <c r="D34" s="216"/>
      <c r="E34" s="216"/>
      <c r="F34" s="216"/>
    </row>
    <row r="35" spans="1:6" s="48" customFormat="1" ht="15" x14ac:dyDescent="0.25">
      <c r="A35" s="55" t="s">
        <v>102</v>
      </c>
      <c r="B35" s="195" t="s">
        <v>266</v>
      </c>
      <c r="C35" s="193" t="s">
        <v>266</v>
      </c>
      <c r="D35" s="216"/>
      <c r="E35" s="216"/>
      <c r="F35" s="216"/>
    </row>
    <row r="36" spans="1:6" s="48" customFormat="1" x14ac:dyDescent="0.2">
      <c r="A36" s="47" t="s">
        <v>76</v>
      </c>
      <c r="B36" s="60">
        <v>0</v>
      </c>
      <c r="C36" s="56">
        <f>B36/$B$178</f>
        <v>0</v>
      </c>
      <c r="D36" s="216"/>
      <c r="E36" s="216"/>
      <c r="F36" s="216"/>
    </row>
    <row r="37" spans="1:6" s="48" customFormat="1" x14ac:dyDescent="0.2">
      <c r="A37" s="47" t="s">
        <v>77</v>
      </c>
      <c r="B37" s="60">
        <v>0</v>
      </c>
      <c r="C37" s="56">
        <f>B37/$B$178</f>
        <v>0</v>
      </c>
      <c r="D37" s="216"/>
      <c r="E37" s="216"/>
      <c r="F37" s="216"/>
    </row>
    <row r="38" spans="1:6" s="48" customFormat="1" x14ac:dyDescent="0.2">
      <c r="A38" s="47" t="s">
        <v>71</v>
      </c>
      <c r="B38" s="60">
        <v>0</v>
      </c>
      <c r="C38" s="56">
        <f>B38/$B$178</f>
        <v>0</v>
      </c>
      <c r="D38" s="216"/>
      <c r="E38" s="216"/>
      <c r="F38" s="216"/>
    </row>
    <row r="39" spans="1:6" s="48" customFormat="1" ht="15" x14ac:dyDescent="0.25">
      <c r="A39" s="57" t="s">
        <v>103</v>
      </c>
      <c r="B39" s="58">
        <f>SUM(B36:B38)</f>
        <v>0</v>
      </c>
      <c r="C39" s="59">
        <f>B39/$B$178</f>
        <v>0</v>
      </c>
      <c r="D39" s="216"/>
      <c r="E39" s="216"/>
      <c r="F39" s="216"/>
    </row>
    <row r="40" spans="1:6" s="48" customFormat="1" ht="15" x14ac:dyDescent="0.25">
      <c r="A40" s="55" t="s">
        <v>104</v>
      </c>
      <c r="B40" s="195" t="s">
        <v>266</v>
      </c>
      <c r="C40" s="193" t="s">
        <v>266</v>
      </c>
      <c r="D40" s="216"/>
      <c r="E40" s="216"/>
      <c r="F40" s="216"/>
    </row>
    <row r="41" spans="1:6" s="48" customFormat="1" ht="15" x14ac:dyDescent="0.25">
      <c r="A41" s="55" t="s">
        <v>105</v>
      </c>
      <c r="B41" s="195" t="s">
        <v>266</v>
      </c>
      <c r="C41" s="193" t="s">
        <v>266</v>
      </c>
      <c r="D41" s="216"/>
      <c r="E41" s="216"/>
      <c r="F41" s="216"/>
    </row>
    <row r="42" spans="1:6" s="48" customFormat="1" x14ac:dyDescent="0.2">
      <c r="A42" s="47" t="s">
        <v>106</v>
      </c>
      <c r="B42" s="60">
        <v>0</v>
      </c>
      <c r="C42" s="56">
        <f>B42/$B$178</f>
        <v>0</v>
      </c>
      <c r="D42" s="216"/>
      <c r="E42" s="216"/>
      <c r="F42" s="216"/>
    </row>
    <row r="43" spans="1:6" s="48" customFormat="1" ht="15" x14ac:dyDescent="0.25">
      <c r="A43" s="57" t="s">
        <v>107</v>
      </c>
      <c r="B43" s="58">
        <f>SUM(B42)</f>
        <v>0</v>
      </c>
      <c r="C43" s="59">
        <f>B43/$B$178</f>
        <v>0</v>
      </c>
      <c r="D43" s="216"/>
      <c r="E43" s="216"/>
      <c r="F43" s="216"/>
    </row>
    <row r="44" spans="1:6" s="48" customFormat="1" ht="15" x14ac:dyDescent="0.25">
      <c r="A44" s="55" t="s">
        <v>108</v>
      </c>
      <c r="B44" s="195" t="s">
        <v>266</v>
      </c>
      <c r="C44" s="193" t="s">
        <v>266</v>
      </c>
      <c r="D44" s="216"/>
      <c r="E44" s="216"/>
      <c r="F44" s="216"/>
    </row>
    <row r="45" spans="1:6" s="48" customFormat="1" x14ac:dyDescent="0.2">
      <c r="A45" s="96" t="s">
        <v>111</v>
      </c>
      <c r="B45" s="157">
        <v>2.0099999999999998</v>
      </c>
      <c r="C45" s="56">
        <f>B45/$B$178</f>
        <v>7.3165378143062697E-7</v>
      </c>
      <c r="D45" s="216"/>
      <c r="E45" s="216"/>
      <c r="F45" s="216"/>
    </row>
    <row r="46" spans="1:6" s="48" customFormat="1" x14ac:dyDescent="0.2">
      <c r="A46" s="98" t="s">
        <v>227</v>
      </c>
      <c r="B46" s="157">
        <v>20.100000000000001</v>
      </c>
      <c r="C46" s="193" t="s">
        <v>266</v>
      </c>
      <c r="D46" s="216"/>
      <c r="E46" s="216"/>
      <c r="F46" s="216"/>
    </row>
    <row r="47" spans="1:6" s="48" customFormat="1" x14ac:dyDescent="0.2">
      <c r="A47" s="98" t="s">
        <v>258</v>
      </c>
      <c r="B47" s="157">
        <v>6.33</v>
      </c>
      <c r="C47" s="193" t="s">
        <v>266</v>
      </c>
      <c r="D47" s="216"/>
      <c r="E47" s="216"/>
      <c r="F47" s="216"/>
    </row>
    <row r="48" spans="1:6" s="48" customFormat="1" x14ac:dyDescent="0.2">
      <c r="A48" s="98" t="s">
        <v>228</v>
      </c>
      <c r="B48" s="157">
        <v>9.56</v>
      </c>
      <c r="C48" s="193" t="s">
        <v>266</v>
      </c>
      <c r="D48" s="216"/>
      <c r="E48" s="216"/>
      <c r="F48" s="216"/>
    </row>
    <row r="49" spans="1:6" s="48" customFormat="1" x14ac:dyDescent="0.2">
      <c r="A49" s="98" t="s">
        <v>244</v>
      </c>
      <c r="B49" s="157">
        <v>2.86</v>
      </c>
      <c r="C49" s="193" t="s">
        <v>266</v>
      </c>
      <c r="D49" s="216"/>
      <c r="E49" s="216"/>
      <c r="F49" s="216"/>
    </row>
    <row r="50" spans="1:6" s="48" customFormat="1" x14ac:dyDescent="0.2">
      <c r="A50" s="98" t="s">
        <v>110</v>
      </c>
      <c r="B50" s="157">
        <v>11.05</v>
      </c>
      <c r="C50" s="56">
        <f>B50/$B$178</f>
        <v>4.022275763586283E-6</v>
      </c>
      <c r="D50" s="216"/>
      <c r="E50" s="216"/>
      <c r="F50" s="216"/>
    </row>
    <row r="51" spans="1:6" s="48" customFormat="1" x14ac:dyDescent="0.2">
      <c r="A51" s="98" t="s">
        <v>112</v>
      </c>
      <c r="B51" s="157">
        <v>6.58</v>
      </c>
      <c r="C51" s="56">
        <f>B51/$B$178</f>
        <v>2.3951651153301122E-6</v>
      </c>
      <c r="D51" s="216"/>
      <c r="E51" s="216"/>
      <c r="F51" s="216"/>
    </row>
    <row r="52" spans="1:6" s="48" customFormat="1" x14ac:dyDescent="0.2">
      <c r="A52" s="98" t="s">
        <v>114</v>
      </c>
      <c r="B52" s="157">
        <v>21.57</v>
      </c>
      <c r="C52" s="56">
        <f>B52/$B$178</f>
        <v>7.8516278932629976E-6</v>
      </c>
      <c r="D52" s="216"/>
      <c r="E52" s="216"/>
      <c r="F52" s="216"/>
    </row>
    <row r="53" spans="1:6" s="48" customFormat="1" x14ac:dyDescent="0.2">
      <c r="A53" s="98" t="s">
        <v>113</v>
      </c>
      <c r="B53" s="157">
        <v>8.84</v>
      </c>
      <c r="C53" s="56">
        <f>B53/$B$178</f>
        <v>3.2178206108690261E-6</v>
      </c>
      <c r="D53" s="216"/>
      <c r="E53" s="216"/>
      <c r="F53" s="216"/>
    </row>
    <row r="54" spans="1:6" s="48" customFormat="1" ht="15" x14ac:dyDescent="0.25">
      <c r="A54" s="57" t="s">
        <v>115</v>
      </c>
      <c r="B54" s="58">
        <f>SUM(B45:B53)</f>
        <v>88.9</v>
      </c>
      <c r="C54" s="59">
        <f>SUM(C45:C50)</f>
        <v>4.7539295450169104E-6</v>
      </c>
      <c r="D54" s="216"/>
      <c r="E54" s="216"/>
      <c r="F54" s="216"/>
    </row>
    <row r="55" spans="1:6" s="48" customFormat="1" ht="15" x14ac:dyDescent="0.25">
      <c r="A55" s="55" t="s">
        <v>116</v>
      </c>
      <c r="B55" s="64">
        <f>SUM(B43,B54)</f>
        <v>88.9</v>
      </c>
      <c r="C55" s="65">
        <f>B55/$B$178</f>
        <v>3.2360209536906837E-5</v>
      </c>
      <c r="D55" s="216"/>
      <c r="E55" s="216"/>
      <c r="F55" s="216"/>
    </row>
    <row r="56" spans="1:6" s="48" customFormat="1" ht="15" x14ac:dyDescent="0.25">
      <c r="A56" s="55" t="s">
        <v>117</v>
      </c>
      <c r="B56" s="195">
        <v>0</v>
      </c>
      <c r="C56" s="193" t="s">
        <v>266</v>
      </c>
      <c r="D56" s="216"/>
      <c r="E56" s="216"/>
      <c r="F56" s="216"/>
    </row>
    <row r="57" spans="1:6" s="48" customFormat="1" ht="15" x14ac:dyDescent="0.25">
      <c r="A57" s="55" t="s">
        <v>118</v>
      </c>
      <c r="B57" s="195">
        <v>0</v>
      </c>
      <c r="C57" s="193" t="s">
        <v>266</v>
      </c>
      <c r="D57" s="216"/>
      <c r="E57" s="216"/>
      <c r="F57" s="216"/>
    </row>
    <row r="58" spans="1:6" s="48" customFormat="1" x14ac:dyDescent="0.2">
      <c r="A58" s="96" t="s">
        <v>208</v>
      </c>
      <c r="B58" s="157">
        <v>50.05</v>
      </c>
      <c r="C58" s="56">
        <f>B50/$B$178</f>
        <v>4.022275763586283E-6</v>
      </c>
      <c r="D58" s="216"/>
      <c r="E58" s="216"/>
      <c r="F58" s="216"/>
    </row>
    <row r="59" spans="1:6" s="48" customFormat="1" x14ac:dyDescent="0.2">
      <c r="A59" s="96" t="s">
        <v>174</v>
      </c>
      <c r="B59" s="157">
        <f>12.69+102.61+42.48</f>
        <v>157.78</v>
      </c>
      <c r="C59" s="56">
        <f>B54/$B$178</f>
        <v>3.2360209536906837E-5</v>
      </c>
      <c r="D59" s="216"/>
      <c r="E59" s="216"/>
      <c r="F59" s="216"/>
    </row>
    <row r="60" spans="1:6" s="48" customFormat="1" x14ac:dyDescent="0.2">
      <c r="A60" s="96" t="s">
        <v>226</v>
      </c>
      <c r="B60" s="157">
        <v>1.6</v>
      </c>
      <c r="C60" s="56">
        <f>B55/$B$178</f>
        <v>3.2360209536906837E-5</v>
      </c>
      <c r="D60" s="216"/>
      <c r="E60" s="216"/>
      <c r="F60" s="216"/>
    </row>
    <row r="61" spans="1:6" s="48" customFormat="1" x14ac:dyDescent="0.2">
      <c r="A61" s="98" t="s">
        <v>120</v>
      </c>
      <c r="B61" s="157">
        <f>12.58+26.32</f>
        <v>38.9</v>
      </c>
      <c r="C61" s="56">
        <f>B56/$B$178</f>
        <v>0</v>
      </c>
      <c r="D61" s="216"/>
      <c r="E61" s="216"/>
      <c r="F61" s="216"/>
    </row>
    <row r="62" spans="1:6" s="48" customFormat="1" x14ac:dyDescent="0.2">
      <c r="A62" s="98" t="s">
        <v>207</v>
      </c>
      <c r="B62" s="157">
        <v>6.98</v>
      </c>
      <c r="C62" s="56">
        <f>B56/$B$178</f>
        <v>0</v>
      </c>
      <c r="D62" s="216"/>
      <c r="E62" s="216"/>
      <c r="F62" s="216"/>
    </row>
    <row r="63" spans="1:6" s="48" customFormat="1" x14ac:dyDescent="0.2">
      <c r="A63" s="98" t="s">
        <v>119</v>
      </c>
      <c r="B63" s="157">
        <f>3.24+0.24+151.68</f>
        <v>155.16</v>
      </c>
      <c r="C63" s="56">
        <f>B57/$B$178</f>
        <v>0</v>
      </c>
      <c r="D63" s="216"/>
      <c r="E63" s="216"/>
      <c r="F63" s="216"/>
    </row>
    <row r="64" spans="1:6" s="48" customFormat="1" x14ac:dyDescent="0.2">
      <c r="A64" s="98" t="s">
        <v>209</v>
      </c>
      <c r="B64" s="157">
        <v>21.15</v>
      </c>
      <c r="C64" s="56">
        <f>B58/$B$178</f>
        <v>1.8218543164479046E-5</v>
      </c>
      <c r="D64" s="216"/>
      <c r="E64" s="216"/>
      <c r="F64" s="216"/>
    </row>
    <row r="65" spans="1:6" s="48" customFormat="1" x14ac:dyDescent="0.2">
      <c r="A65" s="98" t="s">
        <v>176</v>
      </c>
      <c r="B65" s="157">
        <f>15.9+59.92</f>
        <v>75.820000000000007</v>
      </c>
      <c r="C65" s="56">
        <f>B59/$B$178</f>
        <v>5.7433001808022059E-5</v>
      </c>
      <c r="D65" s="216"/>
      <c r="E65" s="216"/>
      <c r="F65" s="216"/>
    </row>
    <row r="66" spans="1:6" s="48" customFormat="1" x14ac:dyDescent="0.2">
      <c r="A66" s="98" t="s">
        <v>175</v>
      </c>
      <c r="B66" s="157">
        <f>-5.07-8.82+25.51</f>
        <v>11.620000000000001</v>
      </c>
      <c r="C66" s="56">
        <f>B60/$B$178</f>
        <v>5.8241097029303646E-7</v>
      </c>
      <c r="D66" s="216"/>
      <c r="E66" s="216"/>
      <c r="F66" s="216"/>
    </row>
    <row r="67" spans="1:6" s="48" customFormat="1" ht="15" x14ac:dyDescent="0.25">
      <c r="A67" s="57" t="s">
        <v>122</v>
      </c>
      <c r="B67" s="58">
        <f>SUM(B58:B66)</f>
        <v>519.05999999999995</v>
      </c>
      <c r="C67" s="59">
        <f>SUM(C64:C66)</f>
        <v>7.6233955942794148E-5</v>
      </c>
      <c r="D67" s="216"/>
      <c r="E67" s="216"/>
      <c r="F67" s="216"/>
    </row>
    <row r="68" spans="1:6" s="48" customFormat="1" ht="15" x14ac:dyDescent="0.25">
      <c r="A68" s="55" t="s">
        <v>123</v>
      </c>
      <c r="B68" s="195" t="s">
        <v>266</v>
      </c>
      <c r="C68" s="193" t="s">
        <v>266</v>
      </c>
      <c r="D68" s="216"/>
      <c r="E68" s="216"/>
      <c r="F68" s="216"/>
    </row>
    <row r="69" spans="1:6" s="48" customFormat="1" x14ac:dyDescent="0.2">
      <c r="A69" s="98" t="s">
        <v>253</v>
      </c>
      <c r="B69" s="157">
        <v>0.38</v>
      </c>
      <c r="C69" s="56">
        <f>B69/$B$178</f>
        <v>1.3832260544459614E-7</v>
      </c>
      <c r="D69" s="216"/>
      <c r="E69" s="216"/>
      <c r="F69" s="216"/>
    </row>
    <row r="70" spans="1:6" s="48" customFormat="1" x14ac:dyDescent="0.2">
      <c r="A70" s="98" t="s">
        <v>124</v>
      </c>
      <c r="B70" s="157">
        <v>0.96</v>
      </c>
      <c r="C70" s="193" t="s">
        <v>266</v>
      </c>
      <c r="D70" s="216"/>
      <c r="E70" s="216"/>
      <c r="F70" s="216"/>
    </row>
    <row r="71" spans="1:6" s="48" customFormat="1" x14ac:dyDescent="0.2">
      <c r="A71" s="98" t="s">
        <v>125</v>
      </c>
      <c r="B71" s="157">
        <v>1.45</v>
      </c>
      <c r="C71" s="193" t="s">
        <v>266</v>
      </c>
      <c r="D71" s="216"/>
      <c r="E71" s="216"/>
      <c r="F71" s="216"/>
    </row>
    <row r="72" spans="1:6" s="48" customFormat="1" x14ac:dyDescent="0.2">
      <c r="A72" s="98" t="s">
        <v>128</v>
      </c>
      <c r="B72" s="157">
        <v>1.93</v>
      </c>
      <c r="C72" s="193" t="s">
        <v>266</v>
      </c>
      <c r="D72" s="216"/>
      <c r="E72" s="216"/>
      <c r="F72" s="216"/>
    </row>
    <row r="73" spans="1:6" s="48" customFormat="1" x14ac:dyDescent="0.2">
      <c r="A73" s="98" t="s">
        <v>129</v>
      </c>
      <c r="B73" s="157">
        <v>0.12</v>
      </c>
      <c r="C73" s="193" t="s">
        <v>266</v>
      </c>
      <c r="D73" s="216"/>
      <c r="E73" s="216"/>
      <c r="F73" s="216"/>
    </row>
    <row r="74" spans="1:6" s="48" customFormat="1" x14ac:dyDescent="0.2">
      <c r="A74" s="98" t="s">
        <v>166</v>
      </c>
      <c r="B74" s="157">
        <v>7.15</v>
      </c>
      <c r="C74" s="193" t="s">
        <v>266</v>
      </c>
      <c r="D74" s="216"/>
      <c r="E74" s="216"/>
      <c r="F74" s="216"/>
    </row>
    <row r="75" spans="1:6" s="48" customFormat="1" x14ac:dyDescent="0.2">
      <c r="A75" s="98" t="s">
        <v>131</v>
      </c>
      <c r="B75" s="157">
        <v>40.25</v>
      </c>
      <c r="C75" s="193" t="s">
        <v>266</v>
      </c>
      <c r="D75" s="216"/>
      <c r="E75" s="216"/>
      <c r="F75" s="216"/>
    </row>
    <row r="76" spans="1:6" s="48" customFormat="1" x14ac:dyDescent="0.2">
      <c r="A76" s="98" t="s">
        <v>132</v>
      </c>
      <c r="B76" s="157">
        <v>20.53</v>
      </c>
      <c r="C76" s="193" t="s">
        <v>266</v>
      </c>
      <c r="D76" s="216"/>
      <c r="E76" s="216"/>
      <c r="F76" s="216"/>
    </row>
    <row r="77" spans="1:6" s="48" customFormat="1" x14ac:dyDescent="0.2">
      <c r="A77" s="98" t="s">
        <v>147</v>
      </c>
      <c r="B77" s="157">
        <v>1.49</v>
      </c>
      <c r="C77" s="193" t="s">
        <v>266</v>
      </c>
      <c r="D77" s="216"/>
      <c r="E77" s="216"/>
      <c r="F77" s="216"/>
    </row>
    <row r="78" spans="1:6" s="48" customFormat="1" x14ac:dyDescent="0.2">
      <c r="A78" s="98" t="s">
        <v>135</v>
      </c>
      <c r="B78" s="157">
        <v>12.17</v>
      </c>
      <c r="C78" s="193" t="s">
        <v>266</v>
      </c>
      <c r="D78" s="216"/>
      <c r="E78" s="216"/>
      <c r="F78" s="216"/>
    </row>
    <row r="79" spans="1:6" s="48" customFormat="1" x14ac:dyDescent="0.2">
      <c r="A79" s="98" t="s">
        <v>178</v>
      </c>
      <c r="B79" s="157">
        <v>5.81</v>
      </c>
      <c r="C79" s="193" t="s">
        <v>266</v>
      </c>
      <c r="D79" s="216"/>
      <c r="E79" s="216"/>
      <c r="F79" s="216"/>
    </row>
    <row r="80" spans="1:6" s="48" customFormat="1" x14ac:dyDescent="0.2">
      <c r="A80" s="98" t="s">
        <v>136</v>
      </c>
      <c r="B80" s="157">
        <v>1.61</v>
      </c>
      <c r="C80" s="193" t="s">
        <v>266</v>
      </c>
      <c r="D80" s="216"/>
      <c r="E80" s="216"/>
      <c r="F80" s="216"/>
    </row>
    <row r="81" spans="1:6" s="48" customFormat="1" x14ac:dyDescent="0.2">
      <c r="A81" s="98" t="s">
        <v>137</v>
      </c>
      <c r="B81" s="157">
        <v>1.79</v>
      </c>
      <c r="C81" s="193" t="s">
        <v>266</v>
      </c>
      <c r="D81" s="216"/>
      <c r="E81" s="216"/>
      <c r="F81" s="216"/>
    </row>
    <row r="82" spans="1:6" s="48" customFormat="1" x14ac:dyDescent="0.2">
      <c r="A82" s="98" t="s">
        <v>138</v>
      </c>
      <c r="B82" s="157">
        <v>0.49</v>
      </c>
      <c r="C82" s="193" t="s">
        <v>266</v>
      </c>
      <c r="D82" s="216"/>
      <c r="E82" s="216"/>
      <c r="F82" s="216"/>
    </row>
    <row r="83" spans="1:6" s="48" customFormat="1" x14ac:dyDescent="0.2">
      <c r="A83" s="98" t="s">
        <v>139</v>
      </c>
      <c r="B83" s="157">
        <v>7.13</v>
      </c>
      <c r="C83" s="193" t="s">
        <v>266</v>
      </c>
      <c r="D83" s="216"/>
      <c r="E83" s="216"/>
      <c r="F83" s="216"/>
    </row>
    <row r="84" spans="1:6" s="48" customFormat="1" x14ac:dyDescent="0.2">
      <c r="A84" s="98" t="s">
        <v>141</v>
      </c>
      <c r="B84" s="157">
        <v>0.05</v>
      </c>
      <c r="C84" s="193" t="s">
        <v>266</v>
      </c>
      <c r="D84" s="216"/>
      <c r="E84" s="216"/>
      <c r="F84" s="216"/>
    </row>
    <row r="85" spans="1:6" s="48" customFormat="1" x14ac:dyDescent="0.2">
      <c r="A85" s="98" t="s">
        <v>142</v>
      </c>
      <c r="B85" s="157">
        <v>0.03</v>
      </c>
      <c r="C85" s="193" t="s">
        <v>266</v>
      </c>
      <c r="D85" s="216"/>
      <c r="E85" s="216"/>
      <c r="F85" s="216"/>
    </row>
    <row r="86" spans="1:6" s="48" customFormat="1" x14ac:dyDescent="0.2">
      <c r="A86" s="98" t="s">
        <v>143</v>
      </c>
      <c r="B86" s="157">
        <v>29.6</v>
      </c>
      <c r="C86" s="193" t="s">
        <v>266</v>
      </c>
      <c r="D86" s="216"/>
      <c r="E86" s="216"/>
      <c r="F86" s="216"/>
    </row>
    <row r="87" spans="1:6" s="48" customFormat="1" x14ac:dyDescent="0.2">
      <c r="A87" s="98" t="s">
        <v>186</v>
      </c>
      <c r="B87" s="157">
        <v>3.87</v>
      </c>
      <c r="C87" s="193" t="s">
        <v>266</v>
      </c>
      <c r="D87" s="216"/>
      <c r="E87" s="216"/>
      <c r="F87" s="216"/>
    </row>
    <row r="88" spans="1:6" s="48" customFormat="1" x14ac:dyDescent="0.2">
      <c r="A88" s="98" t="s">
        <v>146</v>
      </c>
      <c r="B88" s="157">
        <v>3.75</v>
      </c>
      <c r="C88" s="193" t="s">
        <v>266</v>
      </c>
      <c r="D88" s="216"/>
      <c r="E88" s="216"/>
      <c r="F88" s="216"/>
    </row>
    <row r="89" spans="1:6" s="48" customFormat="1" x14ac:dyDescent="0.2">
      <c r="A89" s="98" t="s">
        <v>145</v>
      </c>
      <c r="B89" s="157">
        <v>16.54</v>
      </c>
      <c r="C89" s="193" t="s">
        <v>266</v>
      </c>
      <c r="D89" s="216"/>
      <c r="E89" s="216"/>
      <c r="F89" s="216"/>
    </row>
    <row r="90" spans="1:6" s="48" customFormat="1" x14ac:dyDescent="0.2">
      <c r="A90" s="98" t="s">
        <v>151</v>
      </c>
      <c r="B90" s="157">
        <v>0.04</v>
      </c>
      <c r="C90" s="193" t="s">
        <v>266</v>
      </c>
      <c r="D90" s="216"/>
      <c r="E90" s="216"/>
      <c r="F90" s="216"/>
    </row>
    <row r="91" spans="1:6" s="48" customFormat="1" x14ac:dyDescent="0.2">
      <c r="A91" s="98" t="s">
        <v>152</v>
      </c>
      <c r="B91" s="157">
        <v>3.59</v>
      </c>
      <c r="C91" s="193" t="s">
        <v>266</v>
      </c>
      <c r="D91" s="216"/>
      <c r="E91" s="216"/>
      <c r="F91" s="216"/>
    </row>
    <row r="92" spans="1:6" s="48" customFormat="1" x14ac:dyDescent="0.2">
      <c r="A92" s="98" t="s">
        <v>187</v>
      </c>
      <c r="B92" s="157">
        <v>2.84</v>
      </c>
      <c r="C92" s="193" t="s">
        <v>266</v>
      </c>
      <c r="D92" s="216"/>
      <c r="E92" s="216"/>
      <c r="F92" s="216"/>
    </row>
    <row r="93" spans="1:6" s="48" customFormat="1" x14ac:dyDescent="0.2">
      <c r="A93" s="98" t="s">
        <v>154</v>
      </c>
      <c r="B93" s="157">
        <v>3.64</v>
      </c>
      <c r="C93" s="193" t="s">
        <v>266</v>
      </c>
      <c r="D93" s="216"/>
      <c r="E93" s="216"/>
      <c r="F93" s="216"/>
    </row>
    <row r="94" spans="1:6" s="48" customFormat="1" x14ac:dyDescent="0.2">
      <c r="A94" s="98" t="s">
        <v>155</v>
      </c>
      <c r="B94" s="157">
        <v>17.8</v>
      </c>
      <c r="C94" s="193" t="s">
        <v>266</v>
      </c>
      <c r="D94" s="216"/>
      <c r="E94" s="216"/>
      <c r="F94" s="216"/>
    </row>
    <row r="95" spans="1:6" s="48" customFormat="1" x14ac:dyDescent="0.2">
      <c r="A95" s="98" t="s">
        <v>188</v>
      </c>
      <c r="B95" s="157">
        <v>11.31</v>
      </c>
      <c r="C95" s="193" t="s">
        <v>266</v>
      </c>
      <c r="D95" s="216"/>
      <c r="E95" s="216"/>
      <c r="F95" s="216"/>
    </row>
    <row r="96" spans="1:6" s="48" customFormat="1" x14ac:dyDescent="0.2">
      <c r="A96" s="98" t="s">
        <v>189</v>
      </c>
      <c r="B96" s="157">
        <v>6.24</v>
      </c>
      <c r="C96" s="193" t="s">
        <v>266</v>
      </c>
      <c r="D96" s="216"/>
      <c r="E96" s="216"/>
      <c r="F96" s="216"/>
    </row>
    <row r="97" spans="1:6" s="48" customFormat="1" x14ac:dyDescent="0.2">
      <c r="A97" s="98" t="s">
        <v>190</v>
      </c>
      <c r="B97" s="157">
        <v>2.15</v>
      </c>
      <c r="C97" s="193" t="s">
        <v>266</v>
      </c>
      <c r="D97" s="216"/>
      <c r="E97" s="216"/>
      <c r="F97" s="216"/>
    </row>
    <row r="98" spans="1:6" s="48" customFormat="1" x14ac:dyDescent="0.2">
      <c r="A98" s="98" t="s">
        <v>191</v>
      </c>
      <c r="B98" s="157">
        <v>8.1999999999999993</v>
      </c>
      <c r="C98" s="193" t="s">
        <v>266</v>
      </c>
      <c r="D98" s="216"/>
      <c r="E98" s="216"/>
      <c r="F98" s="216"/>
    </row>
    <row r="99" spans="1:6" s="48" customFormat="1" x14ac:dyDescent="0.2">
      <c r="A99" s="98" t="s">
        <v>192</v>
      </c>
      <c r="B99" s="157">
        <v>4.28</v>
      </c>
      <c r="C99" s="193" t="s">
        <v>266</v>
      </c>
      <c r="D99" s="216"/>
      <c r="E99" s="216"/>
      <c r="F99" s="216"/>
    </row>
    <row r="100" spans="1:6" s="48" customFormat="1" x14ac:dyDescent="0.2">
      <c r="A100" s="98" t="s">
        <v>193</v>
      </c>
      <c r="B100" s="157">
        <v>13.12</v>
      </c>
      <c r="C100" s="193" t="s">
        <v>266</v>
      </c>
      <c r="D100" s="216"/>
      <c r="E100" s="216"/>
      <c r="F100" s="216"/>
    </row>
    <row r="101" spans="1:6" s="48" customFormat="1" x14ac:dyDescent="0.2">
      <c r="A101" s="98" t="s">
        <v>180</v>
      </c>
      <c r="B101" s="157">
        <v>7.07</v>
      </c>
      <c r="C101" s="193" t="s">
        <v>266</v>
      </c>
      <c r="D101" s="216"/>
      <c r="E101" s="216"/>
      <c r="F101" s="216"/>
    </row>
    <row r="102" spans="1:6" s="48" customFormat="1" x14ac:dyDescent="0.2">
      <c r="A102" s="98" t="s">
        <v>194</v>
      </c>
      <c r="B102" s="157">
        <v>6.59</v>
      </c>
      <c r="C102" s="193" t="s">
        <v>266</v>
      </c>
      <c r="D102" s="216"/>
      <c r="E102" s="216"/>
      <c r="F102" s="216"/>
    </row>
    <row r="103" spans="1:6" s="48" customFormat="1" x14ac:dyDescent="0.2">
      <c r="A103" s="98" t="s">
        <v>195</v>
      </c>
      <c r="B103" s="157">
        <v>2.29</v>
      </c>
      <c r="C103" s="193" t="s">
        <v>266</v>
      </c>
      <c r="D103" s="216"/>
      <c r="E103" s="216"/>
      <c r="F103" s="216"/>
    </row>
    <row r="104" spans="1:6" s="48" customFormat="1" x14ac:dyDescent="0.2">
      <c r="A104" s="98" t="s">
        <v>196</v>
      </c>
      <c r="B104" s="157">
        <v>3.38</v>
      </c>
      <c r="C104" s="193" t="s">
        <v>266</v>
      </c>
      <c r="D104" s="216"/>
      <c r="E104" s="216"/>
      <c r="F104" s="216"/>
    </row>
    <row r="105" spans="1:6" s="48" customFormat="1" x14ac:dyDescent="0.2">
      <c r="A105" s="98" t="s">
        <v>197</v>
      </c>
      <c r="B105" s="157">
        <v>2.88</v>
      </c>
      <c r="C105" s="193" t="s">
        <v>266</v>
      </c>
      <c r="D105" s="216"/>
      <c r="E105" s="216"/>
      <c r="F105" s="216"/>
    </row>
    <row r="106" spans="1:6" s="48" customFormat="1" x14ac:dyDescent="0.2">
      <c r="A106" s="98" t="s">
        <v>198</v>
      </c>
      <c r="B106" s="157">
        <v>14.34</v>
      </c>
      <c r="C106" s="193" t="s">
        <v>266</v>
      </c>
      <c r="D106" s="216"/>
      <c r="E106" s="216"/>
      <c r="F106" s="216"/>
    </row>
    <row r="107" spans="1:6" s="48" customFormat="1" x14ac:dyDescent="0.2">
      <c r="A107" s="98" t="s">
        <v>199</v>
      </c>
      <c r="B107" s="157">
        <v>1.89</v>
      </c>
      <c r="C107" s="193" t="s">
        <v>266</v>
      </c>
      <c r="D107" s="216"/>
      <c r="E107" s="216"/>
      <c r="F107" s="216"/>
    </row>
    <row r="108" spans="1:6" s="48" customFormat="1" x14ac:dyDescent="0.2">
      <c r="A108" s="98" t="s">
        <v>200</v>
      </c>
      <c r="B108" s="157">
        <v>14.04</v>
      </c>
      <c r="C108" s="193" t="s">
        <v>266</v>
      </c>
      <c r="D108" s="216"/>
      <c r="E108" s="216"/>
      <c r="F108" s="216"/>
    </row>
    <row r="109" spans="1:6" s="48" customFormat="1" x14ac:dyDescent="0.2">
      <c r="A109" s="98" t="s">
        <v>201</v>
      </c>
      <c r="B109" s="157">
        <v>0.85</v>
      </c>
      <c r="C109" s="193" t="s">
        <v>266</v>
      </c>
      <c r="D109" s="216"/>
      <c r="E109" s="216"/>
      <c r="F109" s="216"/>
    </row>
    <row r="110" spans="1:6" s="48" customFormat="1" x14ac:dyDescent="0.2">
      <c r="A110" s="98" t="s">
        <v>202</v>
      </c>
      <c r="B110" s="157">
        <v>1.02</v>
      </c>
      <c r="C110" s="193" t="s">
        <v>266</v>
      </c>
      <c r="D110" s="216"/>
      <c r="E110" s="216"/>
      <c r="F110" s="216"/>
    </row>
    <row r="111" spans="1:6" s="48" customFormat="1" x14ac:dyDescent="0.2">
      <c r="A111" s="98" t="s">
        <v>203</v>
      </c>
      <c r="B111" s="157">
        <v>6.47</v>
      </c>
      <c r="C111" s="193" t="s">
        <v>266</v>
      </c>
      <c r="D111" s="216"/>
      <c r="E111" s="216"/>
      <c r="F111" s="216"/>
    </row>
    <row r="112" spans="1:6" s="48" customFormat="1" x14ac:dyDescent="0.2">
      <c r="A112" s="98" t="s">
        <v>182</v>
      </c>
      <c r="B112" s="157">
        <v>10</v>
      </c>
      <c r="C112" s="193" t="s">
        <v>266</v>
      </c>
      <c r="D112" s="216"/>
      <c r="E112" s="216"/>
      <c r="F112" s="216"/>
    </row>
    <row r="113" spans="1:6" s="48" customFormat="1" x14ac:dyDescent="0.2">
      <c r="A113" s="98" t="s">
        <v>156</v>
      </c>
      <c r="B113" s="157">
        <v>0.26</v>
      </c>
      <c r="C113" s="193" t="s">
        <v>266</v>
      </c>
      <c r="D113" s="216"/>
      <c r="E113" s="216"/>
      <c r="F113" s="216"/>
    </row>
    <row r="114" spans="1:6" s="48" customFormat="1" x14ac:dyDescent="0.2">
      <c r="A114" s="98" t="s">
        <v>157</v>
      </c>
      <c r="B114" s="157">
        <v>2.66</v>
      </c>
      <c r="C114" s="193" t="s">
        <v>266</v>
      </c>
      <c r="D114" s="216"/>
      <c r="E114" s="216"/>
      <c r="F114" s="216"/>
    </row>
    <row r="115" spans="1:6" s="48" customFormat="1" x14ac:dyDescent="0.2">
      <c r="A115" s="98" t="s">
        <v>204</v>
      </c>
      <c r="B115" s="157">
        <v>7.18</v>
      </c>
      <c r="C115" s="193" t="s">
        <v>266</v>
      </c>
      <c r="D115" s="216"/>
      <c r="E115" s="216"/>
      <c r="F115" s="216"/>
    </row>
    <row r="116" spans="1:6" s="48" customFormat="1" x14ac:dyDescent="0.2">
      <c r="A116" s="98" t="s">
        <v>237</v>
      </c>
      <c r="B116" s="157">
        <v>0.04</v>
      </c>
      <c r="C116" s="193" t="s">
        <v>266</v>
      </c>
      <c r="D116" s="216"/>
      <c r="E116" s="216"/>
      <c r="F116" s="216"/>
    </row>
    <row r="117" spans="1:6" s="48" customFormat="1" x14ac:dyDescent="0.2">
      <c r="A117" s="98" t="s">
        <v>248</v>
      </c>
      <c r="B117" s="157">
        <v>4.6100000000000003</v>
      </c>
      <c r="C117" s="193" t="s">
        <v>266</v>
      </c>
      <c r="D117" s="216"/>
      <c r="E117" s="216"/>
      <c r="F117" s="216"/>
    </row>
    <row r="118" spans="1:6" s="48" customFormat="1" x14ac:dyDescent="0.2">
      <c r="A118" s="98" t="s">
        <v>245</v>
      </c>
      <c r="B118" s="157">
        <v>20.55</v>
      </c>
      <c r="C118" s="193" t="s">
        <v>266</v>
      </c>
      <c r="D118" s="216"/>
      <c r="E118" s="216"/>
      <c r="F118" s="216"/>
    </row>
    <row r="119" spans="1:6" s="48" customFormat="1" x14ac:dyDescent="0.2">
      <c r="A119" s="98" t="s">
        <v>249</v>
      </c>
      <c r="B119" s="157">
        <v>3.81</v>
      </c>
      <c r="C119" s="193" t="s">
        <v>266</v>
      </c>
      <c r="D119" s="216"/>
      <c r="E119" s="216"/>
      <c r="F119" s="216"/>
    </row>
    <row r="120" spans="1:6" s="48" customFormat="1" x14ac:dyDescent="0.2">
      <c r="A120" s="98" t="s">
        <v>247</v>
      </c>
      <c r="B120" s="157">
        <v>13.9</v>
      </c>
      <c r="C120" s="193" t="s">
        <v>266</v>
      </c>
      <c r="D120" s="216"/>
      <c r="E120" s="216"/>
      <c r="F120" s="216"/>
    </row>
    <row r="121" spans="1:6" s="48" customFormat="1" x14ac:dyDescent="0.2">
      <c r="A121" s="98" t="s">
        <v>159</v>
      </c>
      <c r="B121" s="157">
        <v>3.73</v>
      </c>
      <c r="C121" s="193" t="s">
        <v>266</v>
      </c>
      <c r="D121" s="216"/>
      <c r="E121" s="216"/>
      <c r="F121" s="216"/>
    </row>
    <row r="122" spans="1:6" s="48" customFormat="1" x14ac:dyDescent="0.2">
      <c r="A122" s="98" t="s">
        <v>161</v>
      </c>
      <c r="B122" s="157">
        <v>0.86</v>
      </c>
      <c r="C122" s="193" t="s">
        <v>266</v>
      </c>
      <c r="D122" s="216"/>
      <c r="E122" s="216"/>
      <c r="F122" s="216"/>
    </row>
    <row r="123" spans="1:6" s="48" customFormat="1" x14ac:dyDescent="0.2">
      <c r="A123" s="98" t="s">
        <v>177</v>
      </c>
      <c r="B123" s="157">
        <v>19.399999999999999</v>
      </c>
      <c r="C123" s="193" t="s">
        <v>266</v>
      </c>
      <c r="D123" s="216"/>
      <c r="E123" s="216"/>
      <c r="F123" s="216"/>
    </row>
    <row r="124" spans="1:6" s="48" customFormat="1" x14ac:dyDescent="0.2">
      <c r="A124" s="98" t="s">
        <v>124</v>
      </c>
      <c r="B124" s="157">
        <v>0.22</v>
      </c>
      <c r="C124" s="193" t="s">
        <v>266</v>
      </c>
      <c r="D124" s="216"/>
      <c r="E124" s="216"/>
      <c r="F124" s="216"/>
    </row>
    <row r="125" spans="1:6" s="48" customFormat="1" x14ac:dyDescent="0.2">
      <c r="A125" s="98" t="s">
        <v>125</v>
      </c>
      <c r="B125" s="157">
        <v>0.53</v>
      </c>
      <c r="C125" s="193" t="s">
        <v>266</v>
      </c>
      <c r="D125" s="216"/>
      <c r="E125" s="216"/>
      <c r="F125" s="216"/>
    </row>
    <row r="126" spans="1:6" s="48" customFormat="1" x14ac:dyDescent="0.2">
      <c r="A126" s="98" t="s">
        <v>126</v>
      </c>
      <c r="B126" s="157">
        <v>4.12</v>
      </c>
      <c r="C126" s="193" t="s">
        <v>266</v>
      </c>
      <c r="D126" s="216"/>
      <c r="E126" s="216"/>
      <c r="F126" s="216"/>
    </row>
    <row r="127" spans="1:6" s="48" customFormat="1" x14ac:dyDescent="0.2">
      <c r="A127" s="98" t="s">
        <v>127</v>
      </c>
      <c r="B127" s="157">
        <v>0.48</v>
      </c>
      <c r="C127" s="193" t="s">
        <v>266</v>
      </c>
      <c r="D127" s="216"/>
      <c r="E127" s="216"/>
      <c r="F127" s="216"/>
    </row>
    <row r="128" spans="1:6" s="48" customFormat="1" x14ac:dyDescent="0.2">
      <c r="A128" s="98" t="s">
        <v>166</v>
      </c>
      <c r="B128" s="157">
        <v>10.71</v>
      </c>
      <c r="C128" s="193" t="s">
        <v>266</v>
      </c>
      <c r="D128" s="216"/>
      <c r="E128" s="216"/>
      <c r="F128" s="216"/>
    </row>
    <row r="129" spans="1:6" s="48" customFormat="1" x14ac:dyDescent="0.2">
      <c r="A129" s="98" t="s">
        <v>132</v>
      </c>
      <c r="B129" s="157">
        <v>29.97</v>
      </c>
      <c r="C129" s="193" t="s">
        <v>266</v>
      </c>
      <c r="D129" s="216"/>
      <c r="E129" s="216"/>
      <c r="F129" s="216"/>
    </row>
    <row r="130" spans="1:6" s="48" customFormat="1" x14ac:dyDescent="0.2">
      <c r="A130" s="98" t="s">
        <v>147</v>
      </c>
      <c r="B130" s="157">
        <v>0.74</v>
      </c>
      <c r="C130" s="193" t="s">
        <v>266</v>
      </c>
      <c r="D130" s="216"/>
      <c r="E130" s="216"/>
      <c r="F130" s="216"/>
    </row>
    <row r="131" spans="1:6" s="48" customFormat="1" x14ac:dyDescent="0.2">
      <c r="A131" s="98" t="s">
        <v>133</v>
      </c>
      <c r="B131" s="157">
        <v>7.13</v>
      </c>
      <c r="C131" s="193" t="s">
        <v>266</v>
      </c>
      <c r="D131" s="216"/>
      <c r="E131" s="216"/>
      <c r="F131" s="216"/>
    </row>
    <row r="132" spans="1:6" s="48" customFormat="1" x14ac:dyDescent="0.2">
      <c r="A132" s="98" t="s">
        <v>134</v>
      </c>
      <c r="B132" s="157">
        <v>0</v>
      </c>
      <c r="C132" s="193" t="s">
        <v>266</v>
      </c>
      <c r="D132" s="216"/>
      <c r="E132" s="216"/>
      <c r="F132" s="216"/>
    </row>
    <row r="133" spans="1:6" s="48" customFormat="1" x14ac:dyDescent="0.2">
      <c r="A133" s="98" t="s">
        <v>178</v>
      </c>
      <c r="B133" s="157">
        <v>13.83</v>
      </c>
      <c r="C133" s="193" t="s">
        <v>266</v>
      </c>
      <c r="D133" s="216"/>
      <c r="E133" s="216"/>
      <c r="F133" s="216"/>
    </row>
    <row r="134" spans="1:6" s="48" customFormat="1" x14ac:dyDescent="0.2">
      <c r="A134" s="98" t="s">
        <v>137</v>
      </c>
      <c r="B134" s="157">
        <v>1.34</v>
      </c>
      <c r="C134" s="193" t="s">
        <v>266</v>
      </c>
      <c r="D134" s="216"/>
      <c r="E134" s="216"/>
      <c r="F134" s="216"/>
    </row>
    <row r="135" spans="1:6" s="48" customFormat="1" x14ac:dyDescent="0.2">
      <c r="A135" s="98" t="s">
        <v>138</v>
      </c>
      <c r="B135" s="157">
        <v>0.04</v>
      </c>
      <c r="C135" s="193" t="s">
        <v>266</v>
      </c>
      <c r="D135" s="216"/>
      <c r="E135" s="216"/>
      <c r="F135" s="216"/>
    </row>
    <row r="136" spans="1:6" s="48" customFormat="1" x14ac:dyDescent="0.2">
      <c r="A136" s="98" t="s">
        <v>140</v>
      </c>
      <c r="B136" s="157">
        <v>3.76</v>
      </c>
      <c r="C136" s="193" t="s">
        <v>266</v>
      </c>
      <c r="D136" s="216"/>
      <c r="E136" s="216"/>
      <c r="F136" s="216"/>
    </row>
    <row r="137" spans="1:6" s="48" customFormat="1" x14ac:dyDescent="0.2">
      <c r="A137" s="98" t="s">
        <v>205</v>
      </c>
      <c r="B137" s="157">
        <v>0.74</v>
      </c>
      <c r="C137" s="193" t="s">
        <v>266</v>
      </c>
      <c r="D137" s="216"/>
      <c r="E137" s="216"/>
      <c r="F137" s="216"/>
    </row>
    <row r="138" spans="1:6" s="48" customFormat="1" x14ac:dyDescent="0.2">
      <c r="A138" s="98" t="s">
        <v>144</v>
      </c>
      <c r="B138" s="157">
        <v>33.200000000000003</v>
      </c>
      <c r="C138" s="193" t="s">
        <v>266</v>
      </c>
      <c r="D138" s="216"/>
      <c r="E138" s="216"/>
      <c r="F138" s="216"/>
    </row>
    <row r="139" spans="1:6" s="48" customFormat="1" x14ac:dyDescent="0.2">
      <c r="A139" s="98" t="s">
        <v>145</v>
      </c>
      <c r="B139" s="157">
        <v>15.15</v>
      </c>
      <c r="C139" s="193" t="s">
        <v>266</v>
      </c>
      <c r="D139" s="216"/>
      <c r="E139" s="216"/>
      <c r="F139" s="216"/>
    </row>
    <row r="140" spans="1:6" s="48" customFormat="1" x14ac:dyDescent="0.2">
      <c r="A140" s="98" t="s">
        <v>151</v>
      </c>
      <c r="B140" s="157">
        <v>1.73</v>
      </c>
      <c r="C140" s="193" t="s">
        <v>266</v>
      </c>
      <c r="D140" s="216"/>
      <c r="E140" s="216"/>
      <c r="F140" s="216"/>
    </row>
    <row r="141" spans="1:6" s="48" customFormat="1" x14ac:dyDescent="0.2">
      <c r="A141" s="98" t="s">
        <v>153</v>
      </c>
      <c r="B141" s="157">
        <v>1.69</v>
      </c>
      <c r="C141" s="193" t="s">
        <v>266</v>
      </c>
      <c r="D141" s="216"/>
      <c r="E141" s="216"/>
      <c r="F141" s="216"/>
    </row>
    <row r="142" spans="1:6" s="48" customFormat="1" x14ac:dyDescent="0.2">
      <c r="A142" s="98" t="s">
        <v>154</v>
      </c>
      <c r="B142" s="157">
        <v>6.06</v>
      </c>
      <c r="C142" s="193" t="s">
        <v>266</v>
      </c>
      <c r="D142" s="216"/>
      <c r="E142" s="216"/>
      <c r="F142" s="216"/>
    </row>
    <row r="143" spans="1:6" s="48" customFormat="1" x14ac:dyDescent="0.2">
      <c r="A143" s="98" t="s">
        <v>179</v>
      </c>
      <c r="B143" s="157">
        <v>15.43</v>
      </c>
      <c r="C143" s="193" t="s">
        <v>266</v>
      </c>
      <c r="D143" s="216"/>
      <c r="E143" s="216"/>
      <c r="F143" s="216"/>
    </row>
    <row r="144" spans="1:6" s="48" customFormat="1" x14ac:dyDescent="0.2">
      <c r="A144" s="98" t="s">
        <v>155</v>
      </c>
      <c r="B144" s="157">
        <v>35.14</v>
      </c>
      <c r="C144" s="193" t="s">
        <v>266</v>
      </c>
      <c r="D144" s="216"/>
      <c r="E144" s="216"/>
      <c r="F144" s="216"/>
    </row>
    <row r="145" spans="1:6" s="48" customFormat="1" x14ac:dyDescent="0.2">
      <c r="A145" s="98" t="s">
        <v>259</v>
      </c>
      <c r="B145" s="157">
        <v>0.44</v>
      </c>
      <c r="C145" s="193" t="s">
        <v>266</v>
      </c>
      <c r="D145" s="216"/>
      <c r="E145" s="216"/>
      <c r="F145" s="216"/>
    </row>
    <row r="146" spans="1:6" s="48" customFormat="1" x14ac:dyDescent="0.2">
      <c r="A146" s="98" t="s">
        <v>193</v>
      </c>
      <c r="B146" s="157">
        <v>10.32</v>
      </c>
      <c r="C146" s="193" t="s">
        <v>266</v>
      </c>
      <c r="D146" s="216"/>
      <c r="E146" s="216"/>
      <c r="F146" s="216"/>
    </row>
    <row r="147" spans="1:6" s="48" customFormat="1" x14ac:dyDescent="0.2">
      <c r="A147" s="98" t="s">
        <v>180</v>
      </c>
      <c r="B147" s="157">
        <v>12.63</v>
      </c>
      <c r="C147" s="193" t="s">
        <v>266</v>
      </c>
      <c r="D147" s="216"/>
      <c r="E147" s="216"/>
      <c r="F147" s="216"/>
    </row>
    <row r="148" spans="1:6" s="48" customFormat="1" x14ac:dyDescent="0.2">
      <c r="A148" s="98" t="s">
        <v>206</v>
      </c>
      <c r="B148" s="157">
        <v>11.2</v>
      </c>
      <c r="C148" s="193" t="s">
        <v>266</v>
      </c>
      <c r="D148" s="216"/>
      <c r="E148" s="216"/>
      <c r="F148" s="216"/>
    </row>
    <row r="149" spans="1:6" s="48" customFormat="1" x14ac:dyDescent="0.2">
      <c r="A149" s="98" t="s">
        <v>181</v>
      </c>
      <c r="B149" s="157">
        <v>10.26</v>
      </c>
      <c r="C149" s="193" t="s">
        <v>266</v>
      </c>
      <c r="D149" s="216"/>
      <c r="E149" s="216"/>
      <c r="F149" s="216"/>
    </row>
    <row r="150" spans="1:6" s="48" customFormat="1" x14ac:dyDescent="0.2">
      <c r="A150" s="98" t="s">
        <v>182</v>
      </c>
      <c r="B150" s="157">
        <v>1.58</v>
      </c>
      <c r="C150" s="193" t="s">
        <v>266</v>
      </c>
      <c r="D150" s="216"/>
      <c r="E150" s="216"/>
      <c r="F150" s="216"/>
    </row>
    <row r="151" spans="1:6" s="48" customFormat="1" x14ac:dyDescent="0.2">
      <c r="A151" s="98" t="s">
        <v>183</v>
      </c>
      <c r="B151" s="157">
        <v>5.24</v>
      </c>
      <c r="C151" s="193" t="s">
        <v>266</v>
      </c>
      <c r="D151" s="216"/>
      <c r="E151" s="216"/>
      <c r="F151" s="216"/>
    </row>
    <row r="152" spans="1:6" s="48" customFormat="1" x14ac:dyDescent="0.2">
      <c r="A152" s="98" t="s">
        <v>184</v>
      </c>
      <c r="B152" s="157">
        <v>4.43</v>
      </c>
      <c r="C152" s="193" t="s">
        <v>266</v>
      </c>
      <c r="D152" s="216"/>
      <c r="E152" s="216"/>
      <c r="F152" s="216"/>
    </row>
    <row r="153" spans="1:6" s="48" customFormat="1" x14ac:dyDescent="0.2">
      <c r="A153" s="98" t="s">
        <v>225</v>
      </c>
      <c r="B153" s="157">
        <v>17.34</v>
      </c>
      <c r="C153" s="193" t="s">
        <v>266</v>
      </c>
      <c r="D153" s="216"/>
      <c r="E153" s="216"/>
      <c r="F153" s="216"/>
    </row>
    <row r="154" spans="1:6" s="48" customFormat="1" x14ac:dyDescent="0.2">
      <c r="A154" s="98" t="s">
        <v>233</v>
      </c>
      <c r="B154" s="157">
        <v>2.19</v>
      </c>
      <c r="C154" s="193" t="s">
        <v>266</v>
      </c>
      <c r="D154" s="216"/>
      <c r="E154" s="216"/>
      <c r="F154" s="216"/>
    </row>
    <row r="155" spans="1:6" s="48" customFormat="1" x14ac:dyDescent="0.2">
      <c r="A155" s="98" t="s">
        <v>157</v>
      </c>
      <c r="B155" s="157">
        <v>2.38</v>
      </c>
      <c r="C155" s="193" t="s">
        <v>266</v>
      </c>
      <c r="D155" s="216"/>
      <c r="E155" s="216"/>
      <c r="F155" s="216"/>
    </row>
    <row r="156" spans="1:6" s="48" customFormat="1" x14ac:dyDescent="0.2">
      <c r="A156" s="98" t="s">
        <v>234</v>
      </c>
      <c r="B156" s="157">
        <v>3.05</v>
      </c>
      <c r="C156" s="193" t="s">
        <v>266</v>
      </c>
      <c r="D156" s="216"/>
      <c r="E156" s="216"/>
      <c r="F156" s="216"/>
    </row>
    <row r="157" spans="1:6" s="48" customFormat="1" x14ac:dyDescent="0.2">
      <c r="A157" s="98" t="s">
        <v>235</v>
      </c>
      <c r="B157" s="157">
        <v>39.85</v>
      </c>
      <c r="C157" s="193" t="s">
        <v>266</v>
      </c>
      <c r="D157" s="216"/>
      <c r="E157" s="216"/>
      <c r="F157" s="216"/>
    </row>
    <row r="158" spans="1:6" s="48" customFormat="1" x14ac:dyDescent="0.2">
      <c r="A158" s="98" t="s">
        <v>236</v>
      </c>
      <c r="B158" s="157">
        <v>0.53</v>
      </c>
      <c r="C158" s="193" t="s">
        <v>266</v>
      </c>
      <c r="D158" s="216"/>
      <c r="E158" s="216"/>
      <c r="F158" s="216"/>
    </row>
    <row r="159" spans="1:6" s="48" customFormat="1" x14ac:dyDescent="0.2">
      <c r="A159" s="98" t="s">
        <v>246</v>
      </c>
      <c r="B159" s="157">
        <v>8.2100000000000009</v>
      </c>
      <c r="C159" s="193" t="s">
        <v>266</v>
      </c>
      <c r="D159" s="216"/>
      <c r="E159" s="216"/>
      <c r="F159" s="216"/>
    </row>
    <row r="160" spans="1:6" s="48" customFormat="1" x14ac:dyDescent="0.2">
      <c r="A160" s="98" t="s">
        <v>238</v>
      </c>
      <c r="B160" s="157">
        <v>30.21</v>
      </c>
      <c r="C160" s="193" t="s">
        <v>266</v>
      </c>
      <c r="D160" s="216"/>
      <c r="E160" s="216"/>
      <c r="F160" s="216"/>
    </row>
    <row r="161" spans="1:6" s="48" customFormat="1" x14ac:dyDescent="0.2">
      <c r="A161" s="98" t="s">
        <v>241</v>
      </c>
      <c r="B161" s="157">
        <v>6.84</v>
      </c>
      <c r="C161" s="193" t="s">
        <v>266</v>
      </c>
      <c r="D161" s="216"/>
      <c r="E161" s="216"/>
      <c r="F161" s="216"/>
    </row>
    <row r="162" spans="1:6" s="48" customFormat="1" x14ac:dyDescent="0.2">
      <c r="A162" s="98" t="s">
        <v>242</v>
      </c>
      <c r="B162" s="157">
        <v>2.5099999999999998</v>
      </c>
      <c r="C162" s="193" t="s">
        <v>266</v>
      </c>
      <c r="D162" s="216"/>
      <c r="E162" s="216"/>
      <c r="F162" s="216"/>
    </row>
    <row r="163" spans="1:6" s="48" customFormat="1" x14ac:dyDescent="0.2">
      <c r="A163" s="98" t="s">
        <v>158</v>
      </c>
      <c r="B163" s="157">
        <v>0</v>
      </c>
      <c r="C163" s="193" t="s">
        <v>266</v>
      </c>
      <c r="D163" s="216"/>
      <c r="E163" s="216"/>
      <c r="F163" s="216"/>
    </row>
    <row r="164" spans="1:6" s="48" customFormat="1" x14ac:dyDescent="0.2">
      <c r="A164" s="98" t="s">
        <v>159</v>
      </c>
      <c r="B164" s="157">
        <v>12.08</v>
      </c>
      <c r="C164" s="193" t="s">
        <v>266</v>
      </c>
      <c r="D164" s="216"/>
      <c r="E164" s="216"/>
      <c r="F164" s="216"/>
    </row>
    <row r="165" spans="1:6" s="48" customFormat="1" x14ac:dyDescent="0.2">
      <c r="A165" s="98" t="s">
        <v>185</v>
      </c>
      <c r="B165" s="157">
        <v>20.010000000000002</v>
      </c>
      <c r="C165" s="193" t="s">
        <v>266</v>
      </c>
      <c r="D165" s="216"/>
      <c r="E165" s="216"/>
      <c r="F165" s="216"/>
    </row>
    <row r="166" spans="1:6" s="48" customFormat="1" x14ac:dyDescent="0.2">
      <c r="A166" s="98" t="s">
        <v>160</v>
      </c>
      <c r="B166" s="157">
        <v>24.59</v>
      </c>
      <c r="C166" s="193" t="s">
        <v>266</v>
      </c>
      <c r="D166" s="216"/>
      <c r="E166" s="216"/>
      <c r="F166" s="216"/>
    </row>
    <row r="167" spans="1:6" s="48" customFormat="1" x14ac:dyDescent="0.2">
      <c r="A167" s="98" t="s">
        <v>162</v>
      </c>
      <c r="B167" s="157">
        <v>8.1</v>
      </c>
      <c r="C167" s="193" t="s">
        <v>266</v>
      </c>
      <c r="D167" s="216"/>
      <c r="E167" s="216"/>
      <c r="F167" s="216"/>
    </row>
    <row r="168" spans="1:6" s="48" customFormat="1" x14ac:dyDescent="0.2">
      <c r="A168" s="98" t="s">
        <v>210</v>
      </c>
      <c r="B168" s="157">
        <v>0.79</v>
      </c>
      <c r="C168" s="193" t="s">
        <v>266</v>
      </c>
      <c r="D168" s="216"/>
      <c r="E168" s="216"/>
      <c r="F168" s="216"/>
    </row>
    <row r="169" spans="1:6" s="48" customFormat="1" x14ac:dyDescent="0.2">
      <c r="A169" s="98" t="s">
        <v>140</v>
      </c>
      <c r="B169" s="157">
        <v>28.59</v>
      </c>
      <c r="C169" s="193" t="s">
        <v>266</v>
      </c>
      <c r="D169" s="216"/>
      <c r="E169" s="216"/>
      <c r="F169" s="216"/>
    </row>
    <row r="170" spans="1:6" s="48" customFormat="1" x14ac:dyDescent="0.2">
      <c r="A170" s="98" t="s">
        <v>145</v>
      </c>
      <c r="B170" s="157">
        <v>2.92</v>
      </c>
      <c r="C170" s="193" t="s">
        <v>266</v>
      </c>
      <c r="D170" s="216"/>
      <c r="E170" s="216"/>
      <c r="F170" s="216"/>
    </row>
    <row r="171" spans="1:6" s="48" customFormat="1" x14ac:dyDescent="0.2">
      <c r="A171" s="98" t="s">
        <v>211</v>
      </c>
      <c r="B171" s="157">
        <v>4.16</v>
      </c>
      <c r="C171" s="193" t="s">
        <v>266</v>
      </c>
      <c r="D171" s="216"/>
      <c r="E171" s="216"/>
      <c r="F171" s="216"/>
    </row>
    <row r="172" spans="1:6" s="48" customFormat="1" x14ac:dyDescent="0.2">
      <c r="A172" s="98" t="s">
        <v>235</v>
      </c>
      <c r="B172" s="157">
        <v>65.66</v>
      </c>
      <c r="C172" s="193" t="s">
        <v>266</v>
      </c>
      <c r="D172" s="216"/>
      <c r="E172" s="216"/>
      <c r="F172" s="216"/>
    </row>
    <row r="173" spans="1:6" s="48" customFormat="1" x14ac:dyDescent="0.2">
      <c r="A173" s="98" t="s">
        <v>150</v>
      </c>
      <c r="B173" s="157">
        <v>6.67</v>
      </c>
      <c r="C173" s="193" t="s">
        <v>266</v>
      </c>
      <c r="D173" s="216"/>
      <c r="E173" s="216"/>
      <c r="F173" s="216"/>
    </row>
    <row r="174" spans="1:6" s="48" customFormat="1" x14ac:dyDescent="0.2">
      <c r="A174" s="98" t="s">
        <v>159</v>
      </c>
      <c r="B174" s="157">
        <v>12.94</v>
      </c>
      <c r="C174" s="193" t="s">
        <v>266</v>
      </c>
      <c r="D174" s="216"/>
      <c r="E174" s="216"/>
      <c r="F174" s="216"/>
    </row>
    <row r="175" spans="1:6" ht="15" x14ac:dyDescent="0.25">
      <c r="A175" s="57" t="s">
        <v>163</v>
      </c>
      <c r="B175" s="58">
        <f>SUM(B69:B174)</f>
        <v>915.86000000000024</v>
      </c>
      <c r="C175" s="59">
        <f>B175/$B$178</f>
        <v>3.3337931953286281E-4</v>
      </c>
      <c r="D175" s="216"/>
      <c r="E175" s="216"/>
      <c r="F175" s="216"/>
    </row>
    <row r="176" spans="1:6" customFormat="1" ht="15" x14ac:dyDescent="0.25">
      <c r="A176" s="49" t="s">
        <v>164</v>
      </c>
      <c r="B176" s="69">
        <f>B67+B175</f>
        <v>1434.92</v>
      </c>
      <c r="C176" s="51">
        <f>B176/$B$178</f>
        <v>5.2232071843305247E-4</v>
      </c>
      <c r="D176" s="216"/>
      <c r="E176" s="216"/>
      <c r="F176" s="216"/>
    </row>
    <row r="177" spans="1:6" ht="15" x14ac:dyDescent="0.25">
      <c r="A177" s="97" t="s">
        <v>165</v>
      </c>
      <c r="B177" s="64">
        <f>B15+B29+B34+B39+B55+B176</f>
        <v>2316.3582092370475</v>
      </c>
      <c r="C177" s="56">
        <f>B177/$B$178</f>
        <v>8.4317027011749323E-4</v>
      </c>
      <c r="D177" s="216"/>
      <c r="E177" s="216"/>
      <c r="F177" s="216"/>
    </row>
    <row r="178" spans="1:6" s="48" customFormat="1" ht="15" x14ac:dyDescent="0.25">
      <c r="A178" s="55" t="s">
        <v>30</v>
      </c>
      <c r="B178" s="64">
        <v>2747201</v>
      </c>
      <c r="C178" s="56">
        <f>B178/$B$178</f>
        <v>1</v>
      </c>
      <c r="D178" s="216"/>
      <c r="E178" s="216"/>
      <c r="F178" s="216"/>
    </row>
    <row r="179" spans="1:6" x14ac:dyDescent="0.2">
      <c r="A179" s="215" t="s">
        <v>267</v>
      </c>
      <c r="B179" s="215"/>
      <c r="C179" s="215"/>
      <c r="D179" s="215"/>
      <c r="E179" s="215"/>
      <c r="F179" s="215"/>
    </row>
    <row r="183" spans="1:6" x14ac:dyDescent="0.2">
      <c r="B183" s="79"/>
    </row>
    <row r="185" spans="1:6" x14ac:dyDescent="0.2">
      <c r="B185" s="79"/>
      <c r="C185" s="79"/>
    </row>
  </sheetData>
  <mergeCells count="3">
    <mergeCell ref="A1:F1"/>
    <mergeCell ref="D3:F178"/>
    <mergeCell ref="A179:F179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0"/>
  <sheetViews>
    <sheetView rightToLeft="1" topLeftCell="A28" zoomScale="80" zoomScaleNormal="80" workbookViewId="0">
      <selection activeCell="A41" sqref="A41"/>
    </sheetView>
  </sheetViews>
  <sheetFormatPr defaultRowHeight="14.25" x14ac:dyDescent="0.2"/>
  <cols>
    <col min="1" max="1" width="53.25" bestFit="1" customWidth="1"/>
    <col min="2" max="2" width="14.375" bestFit="1" customWidth="1"/>
    <col min="3" max="3" width="12.5" customWidth="1"/>
    <col min="255" max="255" width="10.75" bestFit="1" customWidth="1"/>
    <col min="256" max="256" width="9" bestFit="1" customWidth="1"/>
    <col min="257" max="257" width="53.25" bestFit="1" customWidth="1"/>
    <col min="258" max="258" width="8.875" bestFit="1" customWidth="1"/>
    <col min="259" max="259" width="11.875" bestFit="1" customWidth="1"/>
    <col min="511" max="511" width="10.75" bestFit="1" customWidth="1"/>
    <col min="512" max="512" width="9" bestFit="1" customWidth="1"/>
    <col min="513" max="513" width="53.25" bestFit="1" customWidth="1"/>
    <col min="514" max="514" width="8.875" bestFit="1" customWidth="1"/>
    <col min="515" max="515" width="11.875" bestFit="1" customWidth="1"/>
    <col min="767" max="767" width="10.75" bestFit="1" customWidth="1"/>
    <col min="768" max="768" width="9" bestFit="1" customWidth="1"/>
    <col min="769" max="769" width="53.25" bestFit="1" customWidth="1"/>
    <col min="770" max="770" width="8.875" bestFit="1" customWidth="1"/>
    <col min="771" max="771" width="11.875" bestFit="1" customWidth="1"/>
    <col min="1023" max="1023" width="10.75" bestFit="1" customWidth="1"/>
    <col min="1024" max="1024" width="9" bestFit="1" customWidth="1"/>
    <col min="1025" max="1025" width="53.25" bestFit="1" customWidth="1"/>
    <col min="1026" max="1026" width="8.875" bestFit="1" customWidth="1"/>
    <col min="1027" max="1027" width="11.875" bestFit="1" customWidth="1"/>
    <col min="1279" max="1279" width="10.75" bestFit="1" customWidth="1"/>
    <col min="1280" max="1280" width="9" bestFit="1" customWidth="1"/>
    <col min="1281" max="1281" width="53.25" bestFit="1" customWidth="1"/>
    <col min="1282" max="1282" width="8.875" bestFit="1" customWidth="1"/>
    <col min="1283" max="1283" width="11.875" bestFit="1" customWidth="1"/>
    <col min="1535" max="1535" width="10.75" bestFit="1" customWidth="1"/>
    <col min="1536" max="1536" width="9" bestFit="1" customWidth="1"/>
    <col min="1537" max="1537" width="53.25" bestFit="1" customWidth="1"/>
    <col min="1538" max="1538" width="8.875" bestFit="1" customWidth="1"/>
    <col min="1539" max="1539" width="11.875" bestFit="1" customWidth="1"/>
    <col min="1791" max="1791" width="10.75" bestFit="1" customWidth="1"/>
    <col min="1792" max="1792" width="9" bestFit="1" customWidth="1"/>
    <col min="1793" max="1793" width="53.25" bestFit="1" customWidth="1"/>
    <col min="1794" max="1794" width="8.875" bestFit="1" customWidth="1"/>
    <col min="1795" max="1795" width="11.875" bestFit="1" customWidth="1"/>
    <col min="2047" max="2047" width="10.75" bestFit="1" customWidth="1"/>
    <col min="2048" max="2048" width="9" bestFit="1" customWidth="1"/>
    <col min="2049" max="2049" width="53.25" bestFit="1" customWidth="1"/>
    <col min="2050" max="2050" width="8.875" bestFit="1" customWidth="1"/>
    <col min="2051" max="2051" width="11.875" bestFit="1" customWidth="1"/>
    <col min="2303" max="2303" width="10.75" bestFit="1" customWidth="1"/>
    <col min="2304" max="2304" width="9" bestFit="1" customWidth="1"/>
    <col min="2305" max="2305" width="53.25" bestFit="1" customWidth="1"/>
    <col min="2306" max="2306" width="8.875" bestFit="1" customWidth="1"/>
    <col min="2307" max="2307" width="11.875" bestFit="1" customWidth="1"/>
    <col min="2559" max="2559" width="10.75" bestFit="1" customWidth="1"/>
    <col min="2560" max="2560" width="9" bestFit="1" customWidth="1"/>
    <col min="2561" max="2561" width="53.25" bestFit="1" customWidth="1"/>
    <col min="2562" max="2562" width="8.875" bestFit="1" customWidth="1"/>
    <col min="2563" max="2563" width="11.875" bestFit="1" customWidth="1"/>
    <col min="2815" max="2815" width="10.75" bestFit="1" customWidth="1"/>
    <col min="2816" max="2816" width="9" bestFit="1" customWidth="1"/>
    <col min="2817" max="2817" width="53.25" bestFit="1" customWidth="1"/>
    <col min="2818" max="2818" width="8.875" bestFit="1" customWidth="1"/>
    <col min="2819" max="2819" width="11.875" bestFit="1" customWidth="1"/>
    <col min="3071" max="3071" width="10.75" bestFit="1" customWidth="1"/>
    <col min="3072" max="3072" width="9" bestFit="1" customWidth="1"/>
    <col min="3073" max="3073" width="53.25" bestFit="1" customWidth="1"/>
    <col min="3074" max="3074" width="8.875" bestFit="1" customWidth="1"/>
    <col min="3075" max="3075" width="11.875" bestFit="1" customWidth="1"/>
    <col min="3327" max="3327" width="10.75" bestFit="1" customWidth="1"/>
    <col min="3328" max="3328" width="9" bestFit="1" customWidth="1"/>
    <col min="3329" max="3329" width="53.25" bestFit="1" customWidth="1"/>
    <col min="3330" max="3330" width="8.875" bestFit="1" customWidth="1"/>
    <col min="3331" max="3331" width="11.875" bestFit="1" customWidth="1"/>
    <col min="3583" max="3583" width="10.75" bestFit="1" customWidth="1"/>
    <col min="3584" max="3584" width="9" bestFit="1" customWidth="1"/>
    <col min="3585" max="3585" width="53.25" bestFit="1" customWidth="1"/>
    <col min="3586" max="3586" width="8.875" bestFit="1" customWidth="1"/>
    <col min="3587" max="3587" width="11.875" bestFit="1" customWidth="1"/>
    <col min="3839" max="3839" width="10.75" bestFit="1" customWidth="1"/>
    <col min="3840" max="3840" width="9" bestFit="1" customWidth="1"/>
    <col min="3841" max="3841" width="53.25" bestFit="1" customWidth="1"/>
    <col min="3842" max="3842" width="8.875" bestFit="1" customWidth="1"/>
    <col min="3843" max="3843" width="11.875" bestFit="1" customWidth="1"/>
    <col min="4095" max="4095" width="10.75" bestFit="1" customWidth="1"/>
    <col min="4096" max="4096" width="9" bestFit="1" customWidth="1"/>
    <col min="4097" max="4097" width="53.25" bestFit="1" customWidth="1"/>
    <col min="4098" max="4098" width="8.875" bestFit="1" customWidth="1"/>
    <col min="4099" max="4099" width="11.875" bestFit="1" customWidth="1"/>
    <col min="4351" max="4351" width="10.75" bestFit="1" customWidth="1"/>
    <col min="4352" max="4352" width="9" bestFit="1" customWidth="1"/>
    <col min="4353" max="4353" width="53.25" bestFit="1" customWidth="1"/>
    <col min="4354" max="4354" width="8.875" bestFit="1" customWidth="1"/>
    <col min="4355" max="4355" width="11.875" bestFit="1" customWidth="1"/>
    <col min="4607" max="4607" width="10.75" bestFit="1" customWidth="1"/>
    <col min="4608" max="4608" width="9" bestFit="1" customWidth="1"/>
    <col min="4609" max="4609" width="53.25" bestFit="1" customWidth="1"/>
    <col min="4610" max="4610" width="8.875" bestFit="1" customWidth="1"/>
    <col min="4611" max="4611" width="11.875" bestFit="1" customWidth="1"/>
    <col min="4863" max="4863" width="10.75" bestFit="1" customWidth="1"/>
    <col min="4864" max="4864" width="9" bestFit="1" customWidth="1"/>
    <col min="4865" max="4865" width="53.25" bestFit="1" customWidth="1"/>
    <col min="4866" max="4866" width="8.875" bestFit="1" customWidth="1"/>
    <col min="4867" max="4867" width="11.875" bestFit="1" customWidth="1"/>
    <col min="5119" max="5119" width="10.75" bestFit="1" customWidth="1"/>
    <col min="5120" max="5120" width="9" bestFit="1" customWidth="1"/>
    <col min="5121" max="5121" width="53.25" bestFit="1" customWidth="1"/>
    <col min="5122" max="5122" width="8.875" bestFit="1" customWidth="1"/>
    <col min="5123" max="5123" width="11.875" bestFit="1" customWidth="1"/>
    <col min="5375" max="5375" width="10.75" bestFit="1" customWidth="1"/>
    <col min="5376" max="5376" width="9" bestFit="1" customWidth="1"/>
    <col min="5377" max="5377" width="53.25" bestFit="1" customWidth="1"/>
    <col min="5378" max="5378" width="8.875" bestFit="1" customWidth="1"/>
    <col min="5379" max="5379" width="11.875" bestFit="1" customWidth="1"/>
    <col min="5631" max="5631" width="10.75" bestFit="1" customWidth="1"/>
    <col min="5632" max="5632" width="9" bestFit="1" customWidth="1"/>
    <col min="5633" max="5633" width="53.25" bestFit="1" customWidth="1"/>
    <col min="5634" max="5634" width="8.875" bestFit="1" customWidth="1"/>
    <col min="5635" max="5635" width="11.875" bestFit="1" customWidth="1"/>
    <col min="5887" max="5887" width="10.75" bestFit="1" customWidth="1"/>
    <col min="5888" max="5888" width="9" bestFit="1" customWidth="1"/>
    <col min="5889" max="5889" width="53.25" bestFit="1" customWidth="1"/>
    <col min="5890" max="5890" width="8.875" bestFit="1" customWidth="1"/>
    <col min="5891" max="5891" width="11.875" bestFit="1" customWidth="1"/>
    <col min="6143" max="6143" width="10.75" bestFit="1" customWidth="1"/>
    <col min="6144" max="6144" width="9" bestFit="1" customWidth="1"/>
    <col min="6145" max="6145" width="53.25" bestFit="1" customWidth="1"/>
    <col min="6146" max="6146" width="8.875" bestFit="1" customWidth="1"/>
    <col min="6147" max="6147" width="11.875" bestFit="1" customWidth="1"/>
    <col min="6399" max="6399" width="10.75" bestFit="1" customWidth="1"/>
    <col min="6400" max="6400" width="9" bestFit="1" customWidth="1"/>
    <col min="6401" max="6401" width="53.25" bestFit="1" customWidth="1"/>
    <col min="6402" max="6402" width="8.875" bestFit="1" customWidth="1"/>
    <col min="6403" max="6403" width="11.875" bestFit="1" customWidth="1"/>
    <col min="6655" max="6655" width="10.75" bestFit="1" customWidth="1"/>
    <col min="6656" max="6656" width="9" bestFit="1" customWidth="1"/>
    <col min="6657" max="6657" width="53.25" bestFit="1" customWidth="1"/>
    <col min="6658" max="6658" width="8.875" bestFit="1" customWidth="1"/>
    <col min="6659" max="6659" width="11.875" bestFit="1" customWidth="1"/>
    <col min="6911" max="6911" width="10.75" bestFit="1" customWidth="1"/>
    <col min="6912" max="6912" width="9" bestFit="1" customWidth="1"/>
    <col min="6913" max="6913" width="53.25" bestFit="1" customWidth="1"/>
    <col min="6914" max="6914" width="8.875" bestFit="1" customWidth="1"/>
    <col min="6915" max="6915" width="11.875" bestFit="1" customWidth="1"/>
    <col min="7167" max="7167" width="10.75" bestFit="1" customWidth="1"/>
    <col min="7168" max="7168" width="9" bestFit="1" customWidth="1"/>
    <col min="7169" max="7169" width="53.25" bestFit="1" customWidth="1"/>
    <col min="7170" max="7170" width="8.875" bestFit="1" customWidth="1"/>
    <col min="7171" max="7171" width="11.875" bestFit="1" customWidth="1"/>
    <col min="7423" max="7423" width="10.75" bestFit="1" customWidth="1"/>
    <col min="7424" max="7424" width="9" bestFit="1" customWidth="1"/>
    <col min="7425" max="7425" width="53.25" bestFit="1" customWidth="1"/>
    <col min="7426" max="7426" width="8.875" bestFit="1" customWidth="1"/>
    <col min="7427" max="7427" width="11.875" bestFit="1" customWidth="1"/>
    <col min="7679" max="7679" width="10.75" bestFit="1" customWidth="1"/>
    <col min="7680" max="7680" width="9" bestFit="1" customWidth="1"/>
    <col min="7681" max="7681" width="53.25" bestFit="1" customWidth="1"/>
    <col min="7682" max="7682" width="8.875" bestFit="1" customWidth="1"/>
    <col min="7683" max="7683" width="11.875" bestFit="1" customWidth="1"/>
    <col min="7935" max="7935" width="10.75" bestFit="1" customWidth="1"/>
    <col min="7936" max="7936" width="9" bestFit="1" customWidth="1"/>
    <col min="7937" max="7937" width="53.25" bestFit="1" customWidth="1"/>
    <col min="7938" max="7938" width="8.875" bestFit="1" customWidth="1"/>
    <col min="7939" max="7939" width="11.875" bestFit="1" customWidth="1"/>
    <col min="8191" max="8191" width="10.75" bestFit="1" customWidth="1"/>
    <col min="8192" max="8192" width="9" bestFit="1" customWidth="1"/>
    <col min="8193" max="8193" width="53.25" bestFit="1" customWidth="1"/>
    <col min="8194" max="8194" width="8.875" bestFit="1" customWidth="1"/>
    <col min="8195" max="8195" width="11.875" bestFit="1" customWidth="1"/>
    <col min="8447" max="8447" width="10.75" bestFit="1" customWidth="1"/>
    <col min="8448" max="8448" width="9" bestFit="1" customWidth="1"/>
    <col min="8449" max="8449" width="53.25" bestFit="1" customWidth="1"/>
    <col min="8450" max="8450" width="8.875" bestFit="1" customWidth="1"/>
    <col min="8451" max="8451" width="11.875" bestFit="1" customWidth="1"/>
    <col min="8703" max="8703" width="10.75" bestFit="1" customWidth="1"/>
    <col min="8704" max="8704" width="9" bestFit="1" customWidth="1"/>
    <col min="8705" max="8705" width="53.25" bestFit="1" customWidth="1"/>
    <col min="8706" max="8706" width="8.875" bestFit="1" customWidth="1"/>
    <col min="8707" max="8707" width="11.875" bestFit="1" customWidth="1"/>
    <col min="8959" max="8959" width="10.75" bestFit="1" customWidth="1"/>
    <col min="8960" max="8960" width="9" bestFit="1" customWidth="1"/>
    <col min="8961" max="8961" width="53.25" bestFit="1" customWidth="1"/>
    <col min="8962" max="8962" width="8.875" bestFit="1" customWidth="1"/>
    <col min="8963" max="8963" width="11.875" bestFit="1" customWidth="1"/>
    <col min="9215" max="9215" width="10.75" bestFit="1" customWidth="1"/>
    <col min="9216" max="9216" width="9" bestFit="1" customWidth="1"/>
    <col min="9217" max="9217" width="53.25" bestFit="1" customWidth="1"/>
    <col min="9218" max="9218" width="8.875" bestFit="1" customWidth="1"/>
    <col min="9219" max="9219" width="11.875" bestFit="1" customWidth="1"/>
    <col min="9471" max="9471" width="10.75" bestFit="1" customWidth="1"/>
    <col min="9472" max="9472" width="9" bestFit="1" customWidth="1"/>
    <col min="9473" max="9473" width="53.25" bestFit="1" customWidth="1"/>
    <col min="9474" max="9474" width="8.875" bestFit="1" customWidth="1"/>
    <col min="9475" max="9475" width="11.875" bestFit="1" customWidth="1"/>
    <col min="9727" max="9727" width="10.75" bestFit="1" customWidth="1"/>
    <col min="9728" max="9728" width="9" bestFit="1" customWidth="1"/>
    <col min="9729" max="9729" width="53.25" bestFit="1" customWidth="1"/>
    <col min="9730" max="9730" width="8.875" bestFit="1" customWidth="1"/>
    <col min="9731" max="9731" width="11.875" bestFit="1" customWidth="1"/>
    <col min="9983" max="9983" width="10.75" bestFit="1" customWidth="1"/>
    <col min="9984" max="9984" width="9" bestFit="1" customWidth="1"/>
    <col min="9985" max="9985" width="53.25" bestFit="1" customWidth="1"/>
    <col min="9986" max="9986" width="8.875" bestFit="1" customWidth="1"/>
    <col min="9987" max="9987" width="11.875" bestFit="1" customWidth="1"/>
    <col min="10239" max="10239" width="10.75" bestFit="1" customWidth="1"/>
    <col min="10240" max="10240" width="9" bestFit="1" customWidth="1"/>
    <col min="10241" max="10241" width="53.25" bestFit="1" customWidth="1"/>
    <col min="10242" max="10242" width="8.875" bestFit="1" customWidth="1"/>
    <col min="10243" max="10243" width="11.875" bestFit="1" customWidth="1"/>
    <col min="10495" max="10495" width="10.75" bestFit="1" customWidth="1"/>
    <col min="10496" max="10496" width="9" bestFit="1" customWidth="1"/>
    <col min="10497" max="10497" width="53.25" bestFit="1" customWidth="1"/>
    <col min="10498" max="10498" width="8.875" bestFit="1" customWidth="1"/>
    <col min="10499" max="10499" width="11.875" bestFit="1" customWidth="1"/>
    <col min="10751" max="10751" width="10.75" bestFit="1" customWidth="1"/>
    <col min="10752" max="10752" width="9" bestFit="1" customWidth="1"/>
    <col min="10753" max="10753" width="53.25" bestFit="1" customWidth="1"/>
    <col min="10754" max="10754" width="8.875" bestFit="1" customWidth="1"/>
    <col min="10755" max="10755" width="11.875" bestFit="1" customWidth="1"/>
    <col min="11007" max="11007" width="10.75" bestFit="1" customWidth="1"/>
    <col min="11008" max="11008" width="9" bestFit="1" customWidth="1"/>
    <col min="11009" max="11009" width="53.25" bestFit="1" customWidth="1"/>
    <col min="11010" max="11010" width="8.875" bestFit="1" customWidth="1"/>
    <col min="11011" max="11011" width="11.875" bestFit="1" customWidth="1"/>
    <col min="11263" max="11263" width="10.75" bestFit="1" customWidth="1"/>
    <col min="11264" max="11264" width="9" bestFit="1" customWidth="1"/>
    <col min="11265" max="11265" width="53.25" bestFit="1" customWidth="1"/>
    <col min="11266" max="11266" width="8.875" bestFit="1" customWidth="1"/>
    <col min="11267" max="11267" width="11.875" bestFit="1" customWidth="1"/>
    <col min="11519" max="11519" width="10.75" bestFit="1" customWidth="1"/>
    <col min="11520" max="11520" width="9" bestFit="1" customWidth="1"/>
    <col min="11521" max="11521" width="53.25" bestFit="1" customWidth="1"/>
    <col min="11522" max="11522" width="8.875" bestFit="1" customWidth="1"/>
    <col min="11523" max="11523" width="11.875" bestFit="1" customWidth="1"/>
    <col min="11775" max="11775" width="10.75" bestFit="1" customWidth="1"/>
    <col min="11776" max="11776" width="9" bestFit="1" customWidth="1"/>
    <col min="11777" max="11777" width="53.25" bestFit="1" customWidth="1"/>
    <col min="11778" max="11778" width="8.875" bestFit="1" customWidth="1"/>
    <col min="11779" max="11779" width="11.875" bestFit="1" customWidth="1"/>
    <col min="12031" max="12031" width="10.75" bestFit="1" customWidth="1"/>
    <col min="12032" max="12032" width="9" bestFit="1" customWidth="1"/>
    <col min="12033" max="12033" width="53.25" bestFit="1" customWidth="1"/>
    <col min="12034" max="12034" width="8.875" bestFit="1" customWidth="1"/>
    <col min="12035" max="12035" width="11.875" bestFit="1" customWidth="1"/>
    <col min="12287" max="12287" width="10.75" bestFit="1" customWidth="1"/>
    <col min="12288" max="12288" width="9" bestFit="1" customWidth="1"/>
    <col min="12289" max="12289" width="53.25" bestFit="1" customWidth="1"/>
    <col min="12290" max="12290" width="8.875" bestFit="1" customWidth="1"/>
    <col min="12291" max="12291" width="11.875" bestFit="1" customWidth="1"/>
    <col min="12543" max="12543" width="10.75" bestFit="1" customWidth="1"/>
    <col min="12544" max="12544" width="9" bestFit="1" customWidth="1"/>
    <col min="12545" max="12545" width="53.25" bestFit="1" customWidth="1"/>
    <col min="12546" max="12546" width="8.875" bestFit="1" customWidth="1"/>
    <col min="12547" max="12547" width="11.875" bestFit="1" customWidth="1"/>
    <col min="12799" max="12799" width="10.75" bestFit="1" customWidth="1"/>
    <col min="12800" max="12800" width="9" bestFit="1" customWidth="1"/>
    <col min="12801" max="12801" width="53.25" bestFit="1" customWidth="1"/>
    <col min="12802" max="12802" width="8.875" bestFit="1" customWidth="1"/>
    <col min="12803" max="12803" width="11.875" bestFit="1" customWidth="1"/>
    <col min="13055" max="13055" width="10.75" bestFit="1" customWidth="1"/>
    <col min="13056" max="13056" width="9" bestFit="1" customWidth="1"/>
    <col min="13057" max="13057" width="53.25" bestFit="1" customWidth="1"/>
    <col min="13058" max="13058" width="8.875" bestFit="1" customWidth="1"/>
    <col min="13059" max="13059" width="11.875" bestFit="1" customWidth="1"/>
    <col min="13311" max="13311" width="10.75" bestFit="1" customWidth="1"/>
    <col min="13312" max="13312" width="9" bestFit="1" customWidth="1"/>
    <col min="13313" max="13313" width="53.25" bestFit="1" customWidth="1"/>
    <col min="13314" max="13314" width="8.875" bestFit="1" customWidth="1"/>
    <col min="13315" max="13315" width="11.875" bestFit="1" customWidth="1"/>
    <col min="13567" max="13567" width="10.75" bestFit="1" customWidth="1"/>
    <col min="13568" max="13568" width="9" bestFit="1" customWidth="1"/>
    <col min="13569" max="13569" width="53.25" bestFit="1" customWidth="1"/>
    <col min="13570" max="13570" width="8.875" bestFit="1" customWidth="1"/>
    <col min="13571" max="13571" width="11.875" bestFit="1" customWidth="1"/>
    <col min="13823" max="13823" width="10.75" bestFit="1" customWidth="1"/>
    <col min="13824" max="13824" width="9" bestFit="1" customWidth="1"/>
    <col min="13825" max="13825" width="53.25" bestFit="1" customWidth="1"/>
    <col min="13826" max="13826" width="8.875" bestFit="1" customWidth="1"/>
    <col min="13827" max="13827" width="11.875" bestFit="1" customWidth="1"/>
    <col min="14079" max="14079" width="10.75" bestFit="1" customWidth="1"/>
    <col min="14080" max="14080" width="9" bestFit="1" customWidth="1"/>
    <col min="14081" max="14081" width="53.25" bestFit="1" customWidth="1"/>
    <col min="14082" max="14082" width="8.875" bestFit="1" customWidth="1"/>
    <col min="14083" max="14083" width="11.875" bestFit="1" customWidth="1"/>
    <col min="14335" max="14335" width="10.75" bestFit="1" customWidth="1"/>
    <col min="14336" max="14336" width="9" bestFit="1" customWidth="1"/>
    <col min="14337" max="14337" width="53.25" bestFit="1" customWidth="1"/>
    <col min="14338" max="14338" width="8.875" bestFit="1" customWidth="1"/>
    <col min="14339" max="14339" width="11.875" bestFit="1" customWidth="1"/>
    <col min="14591" max="14591" width="10.75" bestFit="1" customWidth="1"/>
    <col min="14592" max="14592" width="9" bestFit="1" customWidth="1"/>
    <col min="14593" max="14593" width="53.25" bestFit="1" customWidth="1"/>
    <col min="14594" max="14594" width="8.875" bestFit="1" customWidth="1"/>
    <col min="14595" max="14595" width="11.875" bestFit="1" customWidth="1"/>
    <col min="14847" max="14847" width="10.75" bestFit="1" customWidth="1"/>
    <col min="14848" max="14848" width="9" bestFit="1" customWidth="1"/>
    <col min="14849" max="14849" width="53.25" bestFit="1" customWidth="1"/>
    <col min="14850" max="14850" width="8.875" bestFit="1" customWidth="1"/>
    <col min="14851" max="14851" width="11.875" bestFit="1" customWidth="1"/>
    <col min="15103" max="15103" width="10.75" bestFit="1" customWidth="1"/>
    <col min="15104" max="15104" width="9" bestFit="1" customWidth="1"/>
    <col min="15105" max="15105" width="53.25" bestFit="1" customWidth="1"/>
    <col min="15106" max="15106" width="8.875" bestFit="1" customWidth="1"/>
    <col min="15107" max="15107" width="11.875" bestFit="1" customWidth="1"/>
    <col min="15359" max="15359" width="10.75" bestFit="1" customWidth="1"/>
    <col min="15360" max="15360" width="9" bestFit="1" customWidth="1"/>
    <col min="15361" max="15361" width="53.25" bestFit="1" customWidth="1"/>
    <col min="15362" max="15362" width="8.875" bestFit="1" customWidth="1"/>
    <col min="15363" max="15363" width="11.875" bestFit="1" customWidth="1"/>
    <col min="15615" max="15615" width="10.75" bestFit="1" customWidth="1"/>
    <col min="15616" max="15616" width="9" bestFit="1" customWidth="1"/>
    <col min="15617" max="15617" width="53.25" bestFit="1" customWidth="1"/>
    <col min="15618" max="15618" width="8.875" bestFit="1" customWidth="1"/>
    <col min="15619" max="15619" width="11.875" bestFit="1" customWidth="1"/>
    <col min="15871" max="15871" width="10.75" bestFit="1" customWidth="1"/>
    <col min="15872" max="15872" width="9" bestFit="1" customWidth="1"/>
    <col min="15873" max="15873" width="53.25" bestFit="1" customWidth="1"/>
    <col min="15874" max="15874" width="8.875" bestFit="1" customWidth="1"/>
    <col min="15875" max="15875" width="11.875" bestFit="1" customWidth="1"/>
    <col min="16127" max="16127" width="10.75" bestFit="1" customWidth="1"/>
    <col min="16128" max="16128" width="9" bestFit="1" customWidth="1"/>
    <col min="16129" max="16129" width="53.25" bestFit="1" customWidth="1"/>
    <col min="16130" max="16130" width="8.875" bestFit="1" customWidth="1"/>
    <col min="16131" max="16131" width="11.875" bestFit="1" customWidth="1"/>
  </cols>
  <sheetData>
    <row r="1" spans="1:9" s="176" customFormat="1" ht="30" customHeight="1" x14ac:dyDescent="0.2">
      <c r="A1" s="209" t="s">
        <v>254</v>
      </c>
      <c r="B1" s="209"/>
      <c r="C1" s="209"/>
      <c r="D1" s="209"/>
      <c r="E1" s="209"/>
      <c r="F1" s="209"/>
      <c r="G1" s="209"/>
    </row>
    <row r="2" spans="1:9" hidden="1" x14ac:dyDescent="0.2">
      <c r="A2" s="42"/>
      <c r="B2" s="42"/>
      <c r="C2" s="42"/>
      <c r="D2" s="42"/>
      <c r="E2" s="42"/>
      <c r="F2" s="42"/>
      <c r="G2" s="42"/>
      <c r="H2" s="42"/>
      <c r="I2" s="42"/>
    </row>
    <row r="3" spans="1:9" x14ac:dyDescent="0.2">
      <c r="A3" t="s">
        <v>1</v>
      </c>
      <c r="B3" t="s">
        <v>2</v>
      </c>
      <c r="C3" t="s">
        <v>3</v>
      </c>
      <c r="D3" s="206" t="s">
        <v>266</v>
      </c>
      <c r="E3" s="206"/>
      <c r="F3" s="206"/>
      <c r="G3" s="206"/>
    </row>
    <row r="4" spans="1:9" ht="15" x14ac:dyDescent="0.25">
      <c r="A4" s="40" t="s">
        <v>87</v>
      </c>
      <c r="B4" s="177" t="s">
        <v>266</v>
      </c>
      <c r="C4" s="177" t="s">
        <v>266</v>
      </c>
      <c r="D4" s="206"/>
      <c r="E4" s="206"/>
      <c r="F4" s="206"/>
      <c r="G4" s="206"/>
    </row>
    <row r="5" spans="1:9" x14ac:dyDescent="0.2">
      <c r="A5" s="42" t="s">
        <v>167</v>
      </c>
      <c r="B5" s="67">
        <v>0</v>
      </c>
      <c r="C5" s="43">
        <f>B5/$B$39</f>
        <v>0</v>
      </c>
      <c r="D5" s="206"/>
      <c r="E5" s="206"/>
      <c r="F5" s="206"/>
      <c r="G5" s="206"/>
    </row>
    <row r="6" spans="1:9" ht="15" x14ac:dyDescent="0.25">
      <c r="A6" s="44" t="s">
        <v>90</v>
      </c>
      <c r="B6" s="80">
        <v>0</v>
      </c>
      <c r="C6" s="4">
        <f>B6/$B$39</f>
        <v>0</v>
      </c>
      <c r="D6" s="206"/>
      <c r="E6" s="206"/>
      <c r="F6" s="206"/>
      <c r="G6" s="206"/>
    </row>
    <row r="7" spans="1:9" ht="15" x14ac:dyDescent="0.25">
      <c r="A7" s="40" t="s">
        <v>91</v>
      </c>
      <c r="B7" s="177" t="s">
        <v>266</v>
      </c>
      <c r="C7" s="177" t="s">
        <v>266</v>
      </c>
      <c r="D7" s="206"/>
      <c r="E7" s="206"/>
      <c r="F7" s="206"/>
      <c r="G7" s="206"/>
    </row>
    <row r="8" spans="1:9" x14ac:dyDescent="0.2">
      <c r="A8" s="42" t="s">
        <v>168</v>
      </c>
      <c r="B8" s="67">
        <v>0</v>
      </c>
      <c r="C8" s="43">
        <f>B8/$B$39</f>
        <v>0</v>
      </c>
      <c r="D8" s="206"/>
      <c r="E8" s="206"/>
      <c r="F8" s="206"/>
      <c r="G8" s="206"/>
    </row>
    <row r="9" spans="1:9" ht="15" x14ac:dyDescent="0.25">
      <c r="A9" s="44" t="s">
        <v>99</v>
      </c>
      <c r="B9" s="80">
        <v>0</v>
      </c>
      <c r="C9" s="4">
        <f>B9/$B$39</f>
        <v>0</v>
      </c>
      <c r="D9" s="206"/>
      <c r="E9" s="206"/>
      <c r="F9" s="206"/>
      <c r="G9" s="206"/>
    </row>
    <row r="10" spans="1:9" ht="15" x14ac:dyDescent="0.25">
      <c r="A10" s="40" t="s">
        <v>100</v>
      </c>
      <c r="B10" s="177" t="s">
        <v>266</v>
      </c>
      <c r="C10" s="177" t="s">
        <v>266</v>
      </c>
      <c r="D10" s="206"/>
      <c r="E10" s="206"/>
      <c r="F10" s="206"/>
      <c r="G10" s="206"/>
    </row>
    <row r="11" spans="1:9" x14ac:dyDescent="0.2">
      <c r="A11" s="42" t="s">
        <v>76</v>
      </c>
      <c r="B11" s="67">
        <v>0</v>
      </c>
      <c r="C11" s="43">
        <f>B11/$B$39</f>
        <v>0</v>
      </c>
      <c r="D11" s="206"/>
      <c r="E11" s="206"/>
      <c r="F11" s="206"/>
      <c r="G11" s="206"/>
    </row>
    <row r="12" spans="1:9" x14ac:dyDescent="0.2">
      <c r="A12" s="42" t="s">
        <v>77</v>
      </c>
      <c r="B12" s="67">
        <v>0</v>
      </c>
      <c r="C12" s="43">
        <f>B12/$B$39</f>
        <v>0</v>
      </c>
      <c r="D12" s="206"/>
      <c r="E12" s="206"/>
      <c r="F12" s="206"/>
      <c r="G12" s="206"/>
    </row>
    <row r="13" spans="1:9" x14ac:dyDescent="0.2">
      <c r="A13" s="42" t="s">
        <v>71</v>
      </c>
      <c r="B13" s="67">
        <v>0</v>
      </c>
      <c r="C13" s="43">
        <f>B13/$B$39</f>
        <v>0</v>
      </c>
      <c r="D13" s="206"/>
      <c r="E13" s="206"/>
      <c r="F13" s="206"/>
      <c r="G13" s="206"/>
    </row>
    <row r="14" spans="1:9" ht="15" x14ac:dyDescent="0.25">
      <c r="A14" s="44" t="s">
        <v>101</v>
      </c>
      <c r="B14" s="80">
        <v>0</v>
      </c>
      <c r="C14" s="4">
        <f>B14/$B$39</f>
        <v>0</v>
      </c>
      <c r="D14" s="206"/>
      <c r="E14" s="206"/>
      <c r="F14" s="206"/>
      <c r="G14" s="206"/>
    </row>
    <row r="15" spans="1:9" ht="15" x14ac:dyDescent="0.25">
      <c r="A15" s="40" t="s">
        <v>102</v>
      </c>
      <c r="B15" s="177" t="s">
        <v>266</v>
      </c>
      <c r="C15" s="177" t="s">
        <v>266</v>
      </c>
      <c r="D15" s="206"/>
      <c r="E15" s="206"/>
      <c r="F15" s="206"/>
      <c r="G15" s="206"/>
    </row>
    <row r="16" spans="1:9" x14ac:dyDescent="0.2">
      <c r="A16" s="42" t="s">
        <v>76</v>
      </c>
      <c r="B16" s="67">
        <v>0</v>
      </c>
      <c r="C16" s="43">
        <f>B16/$B$39</f>
        <v>0</v>
      </c>
      <c r="D16" s="206"/>
      <c r="E16" s="206"/>
      <c r="F16" s="206"/>
      <c r="G16" s="206"/>
    </row>
    <row r="17" spans="1:7" x14ac:dyDescent="0.2">
      <c r="A17" s="42" t="s">
        <v>77</v>
      </c>
      <c r="B17" s="67">
        <v>0</v>
      </c>
      <c r="C17" s="43">
        <f>B17/$B$39</f>
        <v>0</v>
      </c>
      <c r="D17" s="206"/>
      <c r="E17" s="206"/>
      <c r="F17" s="206"/>
      <c r="G17" s="206"/>
    </row>
    <row r="18" spans="1:7" x14ac:dyDescent="0.2">
      <c r="A18" s="42" t="s">
        <v>71</v>
      </c>
      <c r="B18" s="67">
        <v>0</v>
      </c>
      <c r="C18" s="43">
        <f>B18/$B$39</f>
        <v>0</v>
      </c>
      <c r="D18" s="206"/>
      <c r="E18" s="206"/>
      <c r="F18" s="206"/>
      <c r="G18" s="206"/>
    </row>
    <row r="19" spans="1:7" ht="15" x14ac:dyDescent="0.25">
      <c r="A19" s="44" t="s">
        <v>103</v>
      </c>
      <c r="B19" s="80">
        <v>0</v>
      </c>
      <c r="C19" s="4">
        <f>B19/$B$39</f>
        <v>0</v>
      </c>
      <c r="D19" s="206"/>
      <c r="E19" s="206"/>
      <c r="F19" s="206"/>
      <c r="G19" s="206"/>
    </row>
    <row r="20" spans="1:7" ht="15" x14ac:dyDescent="0.25">
      <c r="A20" s="40" t="s">
        <v>104</v>
      </c>
      <c r="B20" s="177" t="s">
        <v>266</v>
      </c>
      <c r="C20" s="177" t="s">
        <v>266</v>
      </c>
      <c r="D20" s="206"/>
      <c r="E20" s="206"/>
      <c r="F20" s="206"/>
      <c r="G20" s="206"/>
    </row>
    <row r="21" spans="1:7" ht="15" x14ac:dyDescent="0.25">
      <c r="A21" s="40" t="s">
        <v>105</v>
      </c>
      <c r="B21" s="177" t="s">
        <v>266</v>
      </c>
      <c r="C21" s="177" t="s">
        <v>266</v>
      </c>
      <c r="D21" s="206"/>
      <c r="E21" s="206"/>
      <c r="F21" s="206"/>
      <c r="G21" s="206"/>
    </row>
    <row r="22" spans="1:7" x14ac:dyDescent="0.2">
      <c r="A22" s="42" t="s">
        <v>106</v>
      </c>
      <c r="B22" s="67">
        <v>0</v>
      </c>
      <c r="C22" s="43">
        <f>B22/$B$39</f>
        <v>0</v>
      </c>
      <c r="D22" s="206"/>
      <c r="E22" s="206"/>
      <c r="F22" s="206"/>
      <c r="G22" s="206"/>
    </row>
    <row r="23" spans="1:7" ht="15" x14ac:dyDescent="0.25">
      <c r="A23" s="44" t="s">
        <v>107</v>
      </c>
      <c r="B23" s="80">
        <v>0</v>
      </c>
      <c r="C23" s="4">
        <f>B23/$B$39</f>
        <v>0</v>
      </c>
      <c r="D23" s="206"/>
      <c r="E23" s="206"/>
      <c r="F23" s="206"/>
      <c r="G23" s="206"/>
    </row>
    <row r="24" spans="1:7" ht="15" x14ac:dyDescent="0.25">
      <c r="A24" s="40" t="s">
        <v>108</v>
      </c>
      <c r="B24" s="177" t="s">
        <v>266</v>
      </c>
      <c r="C24" s="177" t="s">
        <v>266</v>
      </c>
      <c r="D24" s="206"/>
      <c r="E24" s="206"/>
      <c r="F24" s="206"/>
      <c r="G24" s="206"/>
    </row>
    <row r="25" spans="1:7" x14ac:dyDescent="0.2">
      <c r="A25" s="42" t="s">
        <v>169</v>
      </c>
      <c r="B25" s="67">
        <v>0</v>
      </c>
      <c r="C25" s="43">
        <f>B25/$B$39</f>
        <v>0</v>
      </c>
      <c r="D25" s="206"/>
      <c r="E25" s="206"/>
      <c r="F25" s="206"/>
      <c r="G25" s="206"/>
    </row>
    <row r="26" spans="1:7" ht="15" x14ac:dyDescent="0.25">
      <c r="A26" s="44" t="s">
        <v>115</v>
      </c>
      <c r="B26" s="80">
        <v>0</v>
      </c>
      <c r="C26" s="4">
        <f>B26/$B$39</f>
        <v>0</v>
      </c>
      <c r="D26" s="206"/>
      <c r="E26" s="206"/>
      <c r="F26" s="206"/>
      <c r="G26" s="206"/>
    </row>
    <row r="27" spans="1:7" ht="15" x14ac:dyDescent="0.25">
      <c r="A27" s="40" t="s">
        <v>116</v>
      </c>
      <c r="B27" s="70">
        <v>0</v>
      </c>
      <c r="C27" s="7">
        <f>B27/$B$39</f>
        <v>0</v>
      </c>
      <c r="D27" s="206"/>
      <c r="E27" s="206"/>
      <c r="F27" s="206"/>
      <c r="G27" s="206"/>
    </row>
    <row r="28" spans="1:7" ht="15" x14ac:dyDescent="0.25">
      <c r="A28" s="40" t="s">
        <v>117</v>
      </c>
      <c r="B28" s="177" t="s">
        <v>266</v>
      </c>
      <c r="C28" s="177" t="s">
        <v>266</v>
      </c>
      <c r="D28" s="206"/>
      <c r="E28" s="206"/>
      <c r="F28" s="206"/>
      <c r="G28" s="206"/>
    </row>
    <row r="29" spans="1:7" ht="15" x14ac:dyDescent="0.25">
      <c r="A29" s="40" t="s">
        <v>118</v>
      </c>
      <c r="B29" s="177" t="s">
        <v>266</v>
      </c>
      <c r="C29" s="177" t="s">
        <v>266</v>
      </c>
      <c r="D29" s="206"/>
      <c r="E29" s="206"/>
      <c r="F29" s="206"/>
      <c r="G29" s="206"/>
    </row>
    <row r="30" spans="1:7" x14ac:dyDescent="0.2">
      <c r="A30" s="42" t="s">
        <v>170</v>
      </c>
      <c r="B30" s="67">
        <v>0</v>
      </c>
      <c r="C30" s="43">
        <f>B30/$B$39</f>
        <v>0</v>
      </c>
      <c r="D30" s="206"/>
      <c r="E30" s="206"/>
      <c r="F30" s="206"/>
      <c r="G30" s="206"/>
    </row>
    <row r="31" spans="1:7" x14ac:dyDescent="0.2">
      <c r="A31" s="42" t="s">
        <v>171</v>
      </c>
      <c r="B31" s="67">
        <v>0</v>
      </c>
      <c r="C31" s="43">
        <f>B31/$B$39</f>
        <v>0</v>
      </c>
      <c r="D31" s="206"/>
      <c r="E31" s="206"/>
      <c r="F31" s="206"/>
      <c r="G31" s="206"/>
    </row>
    <row r="32" spans="1:7" x14ac:dyDescent="0.2">
      <c r="A32" s="42" t="s">
        <v>121</v>
      </c>
      <c r="B32" s="67">
        <v>0</v>
      </c>
      <c r="C32" s="43">
        <f>B32/$B$39</f>
        <v>0</v>
      </c>
      <c r="D32" s="206"/>
      <c r="E32" s="206"/>
      <c r="F32" s="206"/>
      <c r="G32" s="206"/>
    </row>
    <row r="33" spans="1:7" ht="15" x14ac:dyDescent="0.25">
      <c r="A33" s="44" t="s">
        <v>122</v>
      </c>
      <c r="B33" s="80">
        <f>SUM(B30:B32)</f>
        <v>0</v>
      </c>
      <c r="C33" s="4">
        <f>B33/$B$39</f>
        <v>0</v>
      </c>
      <c r="D33" s="206"/>
      <c r="E33" s="206"/>
      <c r="F33" s="206"/>
      <c r="G33" s="206"/>
    </row>
    <row r="34" spans="1:7" ht="15" x14ac:dyDescent="0.25">
      <c r="A34" s="40" t="s">
        <v>123</v>
      </c>
      <c r="B34" s="177" t="s">
        <v>266</v>
      </c>
      <c r="C34" s="177" t="s">
        <v>266</v>
      </c>
      <c r="D34" s="206"/>
      <c r="E34" s="206"/>
      <c r="F34" s="206"/>
      <c r="G34" s="206"/>
    </row>
    <row r="35" spans="1:7" x14ac:dyDescent="0.2">
      <c r="A35" s="42" t="s">
        <v>172</v>
      </c>
      <c r="B35" s="67">
        <v>0</v>
      </c>
      <c r="C35" s="43">
        <f>B35/$B$39</f>
        <v>0</v>
      </c>
      <c r="D35" s="206"/>
      <c r="E35" s="206"/>
      <c r="F35" s="206"/>
      <c r="G35" s="206"/>
    </row>
    <row r="36" spans="1:7" ht="15" x14ac:dyDescent="0.25">
      <c r="A36" s="44" t="s">
        <v>163</v>
      </c>
      <c r="B36" s="80">
        <v>0</v>
      </c>
      <c r="C36" s="4">
        <f>B36/$B$39</f>
        <v>0</v>
      </c>
      <c r="D36" s="206"/>
      <c r="E36" s="206"/>
      <c r="F36" s="206"/>
      <c r="G36" s="206"/>
    </row>
    <row r="37" spans="1:7" ht="15" x14ac:dyDescent="0.25">
      <c r="A37" s="40" t="s">
        <v>164</v>
      </c>
      <c r="B37" s="70">
        <v>0</v>
      </c>
      <c r="C37" s="7">
        <f>B37/$B$39</f>
        <v>0</v>
      </c>
      <c r="D37" s="206"/>
      <c r="E37" s="206"/>
      <c r="F37" s="206"/>
      <c r="G37" s="206"/>
    </row>
    <row r="38" spans="1:7" ht="15" x14ac:dyDescent="0.25">
      <c r="A38" s="40" t="s">
        <v>165</v>
      </c>
      <c r="B38" s="70">
        <v>0</v>
      </c>
      <c r="C38" s="7">
        <f>B38/$B$39</f>
        <v>0</v>
      </c>
      <c r="D38" s="206"/>
      <c r="E38" s="206"/>
      <c r="F38" s="206"/>
      <c r="G38" s="206"/>
    </row>
    <row r="39" spans="1:7" s="48" customFormat="1" ht="15" x14ac:dyDescent="0.25">
      <c r="A39" s="55" t="s">
        <v>30</v>
      </c>
      <c r="B39" s="156">
        <f>[1]גיליון1!$F$14/1000</f>
        <v>69073.522228378002</v>
      </c>
      <c r="C39" s="65">
        <f>B39/$B$39</f>
        <v>1</v>
      </c>
      <c r="D39" s="206"/>
      <c r="E39" s="206"/>
      <c r="F39" s="206"/>
      <c r="G39" s="206"/>
    </row>
    <row r="40" spans="1:7" x14ac:dyDescent="0.2">
      <c r="A40" s="206" t="s">
        <v>267</v>
      </c>
      <c r="B40" s="206"/>
      <c r="C40" s="206"/>
      <c r="D40" s="206"/>
      <c r="E40" s="206"/>
      <c r="F40" s="206"/>
      <c r="G40" s="206"/>
    </row>
  </sheetData>
  <mergeCells count="3">
    <mergeCell ref="A1:G1"/>
    <mergeCell ref="D3:G39"/>
    <mergeCell ref="A40:G40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XFD87"/>
  <sheetViews>
    <sheetView rightToLeft="1" topLeftCell="A73" zoomScale="80" zoomScaleNormal="80" workbookViewId="0">
      <selection activeCell="A88" sqref="A88"/>
    </sheetView>
  </sheetViews>
  <sheetFormatPr defaultRowHeight="14.25" x14ac:dyDescent="0.2"/>
  <cols>
    <col min="1" max="1" width="53.25" bestFit="1" customWidth="1"/>
    <col min="2" max="2" width="11.25" bestFit="1" customWidth="1"/>
    <col min="3" max="3" width="12.5" customWidth="1"/>
    <col min="6" max="6" width="31.375" bestFit="1" customWidth="1"/>
    <col min="255" max="255" width="10.75" bestFit="1" customWidth="1"/>
    <col min="256" max="256" width="9" bestFit="1" customWidth="1"/>
    <col min="257" max="257" width="53.25" bestFit="1" customWidth="1"/>
    <col min="259" max="259" width="11.875" bestFit="1" customWidth="1"/>
    <col min="511" max="511" width="10.75" bestFit="1" customWidth="1"/>
    <col min="512" max="512" width="9" bestFit="1" customWidth="1"/>
    <col min="513" max="513" width="53.25" bestFit="1" customWidth="1"/>
    <col min="515" max="515" width="11.875" bestFit="1" customWidth="1"/>
    <col min="767" max="767" width="10.75" bestFit="1" customWidth="1"/>
    <col min="768" max="768" width="9" bestFit="1" customWidth="1"/>
    <col min="769" max="769" width="53.25" bestFit="1" customWidth="1"/>
    <col min="771" max="771" width="11.875" bestFit="1" customWidth="1"/>
    <col min="1023" max="1023" width="10.75" bestFit="1" customWidth="1"/>
    <col min="1024" max="1024" width="9" bestFit="1" customWidth="1"/>
    <col min="1025" max="1025" width="53.25" bestFit="1" customWidth="1"/>
    <col min="1027" max="1027" width="11.875" bestFit="1" customWidth="1"/>
    <col min="1279" max="1279" width="10.75" bestFit="1" customWidth="1"/>
    <col min="1280" max="1280" width="9" bestFit="1" customWidth="1"/>
    <col min="1281" max="1281" width="53.25" bestFit="1" customWidth="1"/>
    <col min="1283" max="1283" width="11.875" bestFit="1" customWidth="1"/>
    <col min="1535" max="1535" width="10.75" bestFit="1" customWidth="1"/>
    <col min="1536" max="1536" width="9" bestFit="1" customWidth="1"/>
    <col min="1537" max="1537" width="53.25" bestFit="1" customWidth="1"/>
    <col min="1539" max="1539" width="11.875" bestFit="1" customWidth="1"/>
    <col min="1791" max="1791" width="10.75" bestFit="1" customWidth="1"/>
    <col min="1792" max="1792" width="9" bestFit="1" customWidth="1"/>
    <col min="1793" max="1793" width="53.25" bestFit="1" customWidth="1"/>
    <col min="1795" max="1795" width="11.875" bestFit="1" customWidth="1"/>
    <col min="2047" max="2047" width="10.75" bestFit="1" customWidth="1"/>
    <col min="2048" max="2048" width="9" bestFit="1" customWidth="1"/>
    <col min="2049" max="2049" width="53.25" bestFit="1" customWidth="1"/>
    <col min="2051" max="2051" width="11.875" bestFit="1" customWidth="1"/>
    <col min="2303" max="2303" width="10.75" bestFit="1" customWidth="1"/>
    <col min="2304" max="2304" width="9" bestFit="1" customWidth="1"/>
    <col min="2305" max="2305" width="53.25" bestFit="1" customWidth="1"/>
    <col min="2307" max="2307" width="11.875" bestFit="1" customWidth="1"/>
    <col min="2559" max="2559" width="10.75" bestFit="1" customWidth="1"/>
    <col min="2560" max="2560" width="9" bestFit="1" customWidth="1"/>
    <col min="2561" max="2561" width="53.25" bestFit="1" customWidth="1"/>
    <col min="2563" max="2563" width="11.875" bestFit="1" customWidth="1"/>
    <col min="2815" max="2815" width="10.75" bestFit="1" customWidth="1"/>
    <col min="2816" max="2816" width="9" bestFit="1" customWidth="1"/>
    <col min="2817" max="2817" width="53.25" bestFit="1" customWidth="1"/>
    <col min="2819" max="2819" width="11.875" bestFit="1" customWidth="1"/>
    <col min="3071" max="3071" width="10.75" bestFit="1" customWidth="1"/>
    <col min="3072" max="3072" width="9" bestFit="1" customWidth="1"/>
    <col min="3073" max="3073" width="53.25" bestFit="1" customWidth="1"/>
    <col min="3075" max="3075" width="11.875" bestFit="1" customWidth="1"/>
    <col min="3327" max="3327" width="10.75" bestFit="1" customWidth="1"/>
    <col min="3328" max="3328" width="9" bestFit="1" customWidth="1"/>
    <col min="3329" max="3329" width="53.25" bestFit="1" customWidth="1"/>
    <col min="3331" max="3331" width="11.875" bestFit="1" customWidth="1"/>
    <col min="3583" max="3583" width="10.75" bestFit="1" customWidth="1"/>
    <col min="3584" max="3584" width="9" bestFit="1" customWidth="1"/>
    <col min="3585" max="3585" width="53.25" bestFit="1" customWidth="1"/>
    <col min="3587" max="3587" width="11.875" bestFit="1" customWidth="1"/>
    <col min="3839" max="3839" width="10.75" bestFit="1" customWidth="1"/>
    <col min="3840" max="3840" width="9" bestFit="1" customWidth="1"/>
    <col min="3841" max="3841" width="53.25" bestFit="1" customWidth="1"/>
    <col min="3843" max="3843" width="11.875" bestFit="1" customWidth="1"/>
    <col min="4095" max="4095" width="10.75" bestFit="1" customWidth="1"/>
    <col min="4096" max="4096" width="9" bestFit="1" customWidth="1"/>
    <col min="4097" max="4097" width="53.25" bestFit="1" customWidth="1"/>
    <col min="4099" max="4099" width="11.875" bestFit="1" customWidth="1"/>
    <col min="4351" max="4351" width="10.75" bestFit="1" customWidth="1"/>
    <col min="4352" max="4352" width="9" bestFit="1" customWidth="1"/>
    <col min="4353" max="4353" width="53.25" bestFit="1" customWidth="1"/>
    <col min="4355" max="4355" width="11.875" bestFit="1" customWidth="1"/>
    <col min="4607" max="4607" width="10.75" bestFit="1" customWidth="1"/>
    <col min="4608" max="4608" width="9" bestFit="1" customWidth="1"/>
    <col min="4609" max="4609" width="53.25" bestFit="1" customWidth="1"/>
    <col min="4611" max="4611" width="11.875" bestFit="1" customWidth="1"/>
    <col min="4863" max="4863" width="10.75" bestFit="1" customWidth="1"/>
    <col min="4864" max="4864" width="9" bestFit="1" customWidth="1"/>
    <col min="4865" max="4865" width="53.25" bestFit="1" customWidth="1"/>
    <col min="4867" max="4867" width="11.875" bestFit="1" customWidth="1"/>
    <col min="5119" max="5119" width="10.75" bestFit="1" customWidth="1"/>
    <col min="5120" max="5120" width="9" bestFit="1" customWidth="1"/>
    <col min="5121" max="5121" width="53.25" bestFit="1" customWidth="1"/>
    <col min="5123" max="5123" width="11.875" bestFit="1" customWidth="1"/>
    <col min="5375" max="5375" width="10.75" bestFit="1" customWidth="1"/>
    <col min="5376" max="5376" width="9" bestFit="1" customWidth="1"/>
    <col min="5377" max="5377" width="53.25" bestFit="1" customWidth="1"/>
    <col min="5379" max="5379" width="11.875" bestFit="1" customWidth="1"/>
    <col min="5631" max="5631" width="10.75" bestFit="1" customWidth="1"/>
    <col min="5632" max="5632" width="9" bestFit="1" customWidth="1"/>
    <col min="5633" max="5633" width="53.25" bestFit="1" customWidth="1"/>
    <col min="5635" max="5635" width="11.875" bestFit="1" customWidth="1"/>
    <col min="5887" max="5887" width="10.75" bestFit="1" customWidth="1"/>
    <col min="5888" max="5888" width="9" bestFit="1" customWidth="1"/>
    <col min="5889" max="5889" width="53.25" bestFit="1" customWidth="1"/>
    <col min="5891" max="5891" width="11.875" bestFit="1" customWidth="1"/>
    <col min="6143" max="6143" width="10.75" bestFit="1" customWidth="1"/>
    <col min="6144" max="6144" width="9" bestFit="1" customWidth="1"/>
    <col min="6145" max="6145" width="53.25" bestFit="1" customWidth="1"/>
    <col min="6147" max="6147" width="11.875" bestFit="1" customWidth="1"/>
    <col min="6399" max="6399" width="10.75" bestFit="1" customWidth="1"/>
    <col min="6400" max="6400" width="9" bestFit="1" customWidth="1"/>
    <col min="6401" max="6401" width="53.25" bestFit="1" customWidth="1"/>
    <col min="6403" max="6403" width="11.875" bestFit="1" customWidth="1"/>
    <col min="6655" max="6655" width="10.75" bestFit="1" customWidth="1"/>
    <col min="6656" max="6656" width="9" bestFit="1" customWidth="1"/>
    <col min="6657" max="6657" width="53.25" bestFit="1" customWidth="1"/>
    <col min="6659" max="6659" width="11.875" bestFit="1" customWidth="1"/>
    <col min="6911" max="6911" width="10.75" bestFit="1" customWidth="1"/>
    <col min="6912" max="6912" width="9" bestFit="1" customWidth="1"/>
    <col min="6913" max="6913" width="53.25" bestFit="1" customWidth="1"/>
    <col min="6915" max="6915" width="11.875" bestFit="1" customWidth="1"/>
    <col min="7167" max="7167" width="10.75" bestFit="1" customWidth="1"/>
    <col min="7168" max="7168" width="9" bestFit="1" customWidth="1"/>
    <col min="7169" max="7169" width="53.25" bestFit="1" customWidth="1"/>
    <col min="7171" max="7171" width="11.875" bestFit="1" customWidth="1"/>
    <col min="7423" max="7423" width="10.75" bestFit="1" customWidth="1"/>
    <col min="7424" max="7424" width="9" bestFit="1" customWidth="1"/>
    <col min="7425" max="7425" width="53.25" bestFit="1" customWidth="1"/>
    <col min="7427" max="7427" width="11.875" bestFit="1" customWidth="1"/>
    <col min="7679" max="7679" width="10.75" bestFit="1" customWidth="1"/>
    <col min="7680" max="7680" width="9" bestFit="1" customWidth="1"/>
    <col min="7681" max="7681" width="53.25" bestFit="1" customWidth="1"/>
    <col min="7683" max="7683" width="11.875" bestFit="1" customWidth="1"/>
    <col min="7935" max="7935" width="10.75" bestFit="1" customWidth="1"/>
    <col min="7936" max="7936" width="9" bestFit="1" customWidth="1"/>
    <col min="7937" max="7937" width="53.25" bestFit="1" customWidth="1"/>
    <col min="7939" max="7939" width="11.875" bestFit="1" customWidth="1"/>
    <col min="8191" max="8191" width="10.75" bestFit="1" customWidth="1"/>
    <col min="8192" max="8192" width="9" bestFit="1" customWidth="1"/>
    <col min="8193" max="8193" width="53.25" bestFit="1" customWidth="1"/>
    <col min="8195" max="8195" width="11.875" bestFit="1" customWidth="1"/>
    <col min="8447" max="8447" width="10.75" bestFit="1" customWidth="1"/>
    <col min="8448" max="8448" width="9" bestFit="1" customWidth="1"/>
    <col min="8449" max="8449" width="53.25" bestFit="1" customWidth="1"/>
    <col min="8451" max="8451" width="11.875" bestFit="1" customWidth="1"/>
    <col min="8703" max="8703" width="10.75" bestFit="1" customWidth="1"/>
    <col min="8704" max="8704" width="9" bestFit="1" customWidth="1"/>
    <col min="8705" max="8705" width="53.25" bestFit="1" customWidth="1"/>
    <col min="8707" max="8707" width="11.875" bestFit="1" customWidth="1"/>
    <col min="8959" max="8959" width="10.75" bestFit="1" customWidth="1"/>
    <col min="8960" max="8960" width="9" bestFit="1" customWidth="1"/>
    <col min="8961" max="8961" width="53.25" bestFit="1" customWidth="1"/>
    <col min="8963" max="8963" width="11.875" bestFit="1" customWidth="1"/>
    <col min="9215" max="9215" width="10.75" bestFit="1" customWidth="1"/>
    <col min="9216" max="9216" width="9" bestFit="1" customWidth="1"/>
    <col min="9217" max="9217" width="53.25" bestFit="1" customWidth="1"/>
    <col min="9219" max="9219" width="11.875" bestFit="1" customWidth="1"/>
    <col min="9471" max="9471" width="10.75" bestFit="1" customWidth="1"/>
    <col min="9472" max="9472" width="9" bestFit="1" customWidth="1"/>
    <col min="9473" max="9473" width="53.25" bestFit="1" customWidth="1"/>
    <col min="9475" max="9475" width="11.875" bestFit="1" customWidth="1"/>
    <col min="9727" max="9727" width="10.75" bestFit="1" customWidth="1"/>
    <col min="9728" max="9728" width="9" bestFit="1" customWidth="1"/>
    <col min="9729" max="9729" width="53.25" bestFit="1" customWidth="1"/>
    <col min="9731" max="9731" width="11.875" bestFit="1" customWidth="1"/>
    <col min="9983" max="9983" width="10.75" bestFit="1" customWidth="1"/>
    <col min="9984" max="9984" width="9" bestFit="1" customWidth="1"/>
    <col min="9985" max="9985" width="53.25" bestFit="1" customWidth="1"/>
    <col min="9987" max="9987" width="11.875" bestFit="1" customWidth="1"/>
    <col min="10239" max="10239" width="10.75" bestFit="1" customWidth="1"/>
    <col min="10240" max="10240" width="9" bestFit="1" customWidth="1"/>
    <col min="10241" max="10241" width="53.25" bestFit="1" customWidth="1"/>
    <col min="10243" max="10243" width="11.875" bestFit="1" customWidth="1"/>
    <col min="10495" max="10495" width="10.75" bestFit="1" customWidth="1"/>
    <col min="10496" max="10496" width="9" bestFit="1" customWidth="1"/>
    <col min="10497" max="10497" width="53.25" bestFit="1" customWidth="1"/>
    <col min="10499" max="10499" width="11.875" bestFit="1" customWidth="1"/>
    <col min="10751" max="10751" width="10.75" bestFit="1" customWidth="1"/>
    <col min="10752" max="10752" width="9" bestFit="1" customWidth="1"/>
    <col min="10753" max="10753" width="53.25" bestFit="1" customWidth="1"/>
    <col min="10755" max="10755" width="11.875" bestFit="1" customWidth="1"/>
    <col min="11007" max="11007" width="10.75" bestFit="1" customWidth="1"/>
    <col min="11008" max="11008" width="9" bestFit="1" customWidth="1"/>
    <col min="11009" max="11009" width="53.25" bestFit="1" customWidth="1"/>
    <col min="11011" max="11011" width="11.875" bestFit="1" customWidth="1"/>
    <col min="11263" max="11263" width="10.75" bestFit="1" customWidth="1"/>
    <col min="11264" max="11264" width="9" bestFit="1" customWidth="1"/>
    <col min="11265" max="11265" width="53.25" bestFit="1" customWidth="1"/>
    <col min="11267" max="11267" width="11.875" bestFit="1" customWidth="1"/>
    <col min="11519" max="11519" width="10.75" bestFit="1" customWidth="1"/>
    <col min="11520" max="11520" width="9" bestFit="1" customWidth="1"/>
    <col min="11521" max="11521" width="53.25" bestFit="1" customWidth="1"/>
    <col min="11523" max="11523" width="11.875" bestFit="1" customWidth="1"/>
    <col min="11775" max="11775" width="10.75" bestFit="1" customWidth="1"/>
    <col min="11776" max="11776" width="9" bestFit="1" customWidth="1"/>
    <col min="11777" max="11777" width="53.25" bestFit="1" customWidth="1"/>
    <col min="11779" max="11779" width="11.875" bestFit="1" customWidth="1"/>
    <col min="12031" max="12031" width="10.75" bestFit="1" customWidth="1"/>
    <col min="12032" max="12032" width="9" bestFit="1" customWidth="1"/>
    <col min="12033" max="12033" width="53.25" bestFit="1" customWidth="1"/>
    <col min="12035" max="12035" width="11.875" bestFit="1" customWidth="1"/>
    <col min="12287" max="12287" width="10.75" bestFit="1" customWidth="1"/>
    <col min="12288" max="12288" width="9" bestFit="1" customWidth="1"/>
    <col min="12289" max="12289" width="53.25" bestFit="1" customWidth="1"/>
    <col min="12291" max="12291" width="11.875" bestFit="1" customWidth="1"/>
    <col min="12543" max="12543" width="10.75" bestFit="1" customWidth="1"/>
    <col min="12544" max="12544" width="9" bestFit="1" customWidth="1"/>
    <col min="12545" max="12545" width="53.25" bestFit="1" customWidth="1"/>
    <col min="12547" max="12547" width="11.875" bestFit="1" customWidth="1"/>
    <col min="12799" max="12799" width="10.75" bestFit="1" customWidth="1"/>
    <col min="12800" max="12800" width="9" bestFit="1" customWidth="1"/>
    <col min="12801" max="12801" width="53.25" bestFit="1" customWidth="1"/>
    <col min="12803" max="12803" width="11.875" bestFit="1" customWidth="1"/>
    <col min="13055" max="13055" width="10.75" bestFit="1" customWidth="1"/>
    <col min="13056" max="13056" width="9" bestFit="1" customWidth="1"/>
    <col min="13057" max="13057" width="53.25" bestFit="1" customWidth="1"/>
    <col min="13059" max="13059" width="11.875" bestFit="1" customWidth="1"/>
    <col min="13311" max="13311" width="10.75" bestFit="1" customWidth="1"/>
    <col min="13312" max="13312" width="9" bestFit="1" customWidth="1"/>
    <col min="13313" max="13313" width="53.25" bestFit="1" customWidth="1"/>
    <col min="13315" max="13315" width="11.875" bestFit="1" customWidth="1"/>
    <col min="13567" max="13567" width="10.75" bestFit="1" customWidth="1"/>
    <col min="13568" max="13568" width="9" bestFit="1" customWidth="1"/>
    <col min="13569" max="13569" width="53.25" bestFit="1" customWidth="1"/>
    <col min="13571" max="13571" width="11.875" bestFit="1" customWidth="1"/>
    <col min="13823" max="13823" width="10.75" bestFit="1" customWidth="1"/>
    <col min="13824" max="13824" width="9" bestFit="1" customWidth="1"/>
    <col min="13825" max="13825" width="53.25" bestFit="1" customWidth="1"/>
    <col min="13827" max="13827" width="11.875" bestFit="1" customWidth="1"/>
    <col min="14079" max="14079" width="10.75" bestFit="1" customWidth="1"/>
    <col min="14080" max="14080" width="9" bestFit="1" customWidth="1"/>
    <col min="14081" max="14081" width="53.25" bestFit="1" customWidth="1"/>
    <col min="14083" max="14083" width="11.875" bestFit="1" customWidth="1"/>
    <col min="14335" max="14335" width="10.75" bestFit="1" customWidth="1"/>
    <col min="14336" max="14336" width="9" bestFit="1" customWidth="1"/>
    <col min="14337" max="14337" width="53.25" bestFit="1" customWidth="1"/>
    <col min="14339" max="14339" width="11.875" bestFit="1" customWidth="1"/>
    <col min="14591" max="14591" width="10.75" bestFit="1" customWidth="1"/>
    <col min="14592" max="14592" width="9" bestFit="1" customWidth="1"/>
    <col min="14593" max="14593" width="53.25" bestFit="1" customWidth="1"/>
    <col min="14595" max="14595" width="11.875" bestFit="1" customWidth="1"/>
    <col min="14847" max="14847" width="10.75" bestFit="1" customWidth="1"/>
    <col min="14848" max="14848" width="9" bestFit="1" customWidth="1"/>
    <col min="14849" max="14849" width="53.25" bestFit="1" customWidth="1"/>
    <col min="14851" max="14851" width="11.875" bestFit="1" customWidth="1"/>
    <col min="15103" max="15103" width="10.75" bestFit="1" customWidth="1"/>
    <col min="15104" max="15104" width="9" bestFit="1" customWidth="1"/>
    <col min="15105" max="15105" width="53.25" bestFit="1" customWidth="1"/>
    <col min="15107" max="15107" width="11.875" bestFit="1" customWidth="1"/>
    <col min="15359" max="15359" width="10.75" bestFit="1" customWidth="1"/>
    <col min="15360" max="15360" width="9" bestFit="1" customWidth="1"/>
    <col min="15361" max="15361" width="53.25" bestFit="1" customWidth="1"/>
    <col min="15363" max="15363" width="11.875" bestFit="1" customWidth="1"/>
    <col min="15615" max="15615" width="10.75" bestFit="1" customWidth="1"/>
    <col min="15616" max="15616" width="9" bestFit="1" customWidth="1"/>
    <col min="15617" max="15617" width="53.25" bestFit="1" customWidth="1"/>
    <col min="15619" max="15619" width="11.875" bestFit="1" customWidth="1"/>
    <col min="15871" max="15871" width="10.75" bestFit="1" customWidth="1"/>
    <col min="15872" max="15872" width="9" bestFit="1" customWidth="1"/>
    <col min="15873" max="15873" width="53.25" bestFit="1" customWidth="1"/>
    <col min="15875" max="15875" width="11.875" bestFit="1" customWidth="1"/>
    <col min="16127" max="16127" width="10.75" bestFit="1" customWidth="1"/>
    <col min="16128" max="16128" width="9" bestFit="1" customWidth="1"/>
    <col min="16129" max="16129" width="53.25" bestFit="1" customWidth="1"/>
    <col min="16131" max="16131" width="11.875" bestFit="1" customWidth="1"/>
  </cols>
  <sheetData>
    <row r="1" spans="1:9" s="176" customFormat="1" ht="30" customHeight="1" x14ac:dyDescent="0.2">
      <c r="A1" s="209" t="s">
        <v>255</v>
      </c>
      <c r="B1" s="209"/>
      <c r="C1" s="209"/>
      <c r="D1" s="209"/>
      <c r="E1" s="209"/>
      <c r="F1" s="209"/>
    </row>
    <row r="2" spans="1:9" hidden="1" x14ac:dyDescent="0.2">
      <c r="A2" s="42"/>
      <c r="B2" s="42"/>
      <c r="C2" s="42"/>
      <c r="D2" s="42"/>
      <c r="E2" s="42"/>
      <c r="F2" s="42"/>
      <c r="G2" s="42"/>
      <c r="H2" s="42"/>
      <c r="I2" s="42"/>
    </row>
    <row r="3" spans="1:9" s="81" customFormat="1" x14ac:dyDescent="0.2">
      <c r="A3" s="81" t="s">
        <v>1</v>
      </c>
      <c r="B3" s="81" t="s">
        <v>2</v>
      </c>
      <c r="C3" s="81" t="s">
        <v>3</v>
      </c>
      <c r="D3" s="217" t="s">
        <v>266</v>
      </c>
      <c r="E3" s="217"/>
      <c r="F3" s="217"/>
    </row>
    <row r="4" spans="1:9" s="81" customFormat="1" ht="15" x14ac:dyDescent="0.25">
      <c r="A4" s="82" t="s">
        <v>87</v>
      </c>
      <c r="B4" s="197" t="s">
        <v>266</v>
      </c>
      <c r="C4" s="197" t="s">
        <v>266</v>
      </c>
      <c r="D4" s="217"/>
      <c r="E4" s="217"/>
      <c r="F4" s="217"/>
    </row>
    <row r="5" spans="1:9" s="81" customFormat="1" x14ac:dyDescent="0.2">
      <c r="A5" s="83" t="s">
        <v>173</v>
      </c>
      <c r="B5" s="84">
        <v>0</v>
      </c>
      <c r="C5" s="85">
        <f>B5/$B$86</f>
        <v>0</v>
      </c>
      <c r="D5" s="217"/>
      <c r="E5" s="217"/>
      <c r="F5" s="217"/>
    </row>
    <row r="6" spans="1:9" s="81" customFormat="1" ht="15" x14ac:dyDescent="0.25">
      <c r="A6" s="86" t="s">
        <v>90</v>
      </c>
      <c r="B6" s="87">
        <f>SUM(B5)</f>
        <v>0</v>
      </c>
      <c r="C6" s="88">
        <f>SUM(C5)</f>
        <v>0</v>
      </c>
      <c r="D6" s="217"/>
      <c r="E6" s="217"/>
      <c r="F6" s="217"/>
    </row>
    <row r="7" spans="1:9" s="81" customFormat="1" ht="15" x14ac:dyDescent="0.25">
      <c r="A7" s="89" t="s">
        <v>91</v>
      </c>
      <c r="B7" s="197" t="s">
        <v>266</v>
      </c>
      <c r="C7" s="197" t="s">
        <v>266</v>
      </c>
      <c r="D7" s="217"/>
      <c r="E7" s="217"/>
      <c r="F7" s="217"/>
    </row>
    <row r="8" spans="1:9" s="81" customFormat="1" x14ac:dyDescent="0.2">
      <c r="A8" s="92" t="s">
        <v>168</v>
      </c>
      <c r="B8" s="90">
        <v>0</v>
      </c>
      <c r="C8" s="91">
        <f>B8/$B$86</f>
        <v>0</v>
      </c>
      <c r="D8" s="217"/>
      <c r="E8" s="217"/>
      <c r="F8" s="217"/>
    </row>
    <row r="9" spans="1:9" s="81" customFormat="1" ht="15" x14ac:dyDescent="0.25">
      <c r="A9" s="86" t="s">
        <v>99</v>
      </c>
      <c r="B9" s="87">
        <v>0</v>
      </c>
      <c r="C9" s="88">
        <f>B9/$B$86</f>
        <v>0</v>
      </c>
      <c r="D9" s="217"/>
      <c r="E9" s="217"/>
      <c r="F9" s="217"/>
    </row>
    <row r="10" spans="1:9" s="81" customFormat="1" ht="15" x14ac:dyDescent="0.25">
      <c r="A10" s="89" t="s">
        <v>100</v>
      </c>
      <c r="B10" s="197" t="s">
        <v>266</v>
      </c>
      <c r="C10" s="197" t="s">
        <v>266</v>
      </c>
      <c r="D10" s="217"/>
      <c r="E10" s="217"/>
      <c r="F10" s="217"/>
    </row>
    <row r="11" spans="1:9" s="81" customFormat="1" x14ac:dyDescent="0.2">
      <c r="A11" s="92" t="s">
        <v>76</v>
      </c>
      <c r="B11" s="90">
        <v>0</v>
      </c>
      <c r="C11" s="91">
        <f>B11/$B$86</f>
        <v>0</v>
      </c>
      <c r="D11" s="217"/>
      <c r="E11" s="217"/>
      <c r="F11" s="217"/>
    </row>
    <row r="12" spans="1:9" s="81" customFormat="1" x14ac:dyDescent="0.2">
      <c r="A12" s="92" t="s">
        <v>77</v>
      </c>
      <c r="B12" s="90">
        <v>0</v>
      </c>
      <c r="C12" s="91">
        <f>B12/$B$86</f>
        <v>0</v>
      </c>
      <c r="D12" s="217"/>
      <c r="E12" s="217"/>
      <c r="F12" s="217"/>
    </row>
    <row r="13" spans="1:9" s="81" customFormat="1" x14ac:dyDescent="0.2">
      <c r="A13" s="92" t="s">
        <v>71</v>
      </c>
      <c r="B13" s="90">
        <v>0</v>
      </c>
      <c r="C13" s="91">
        <f>B13/$B$86</f>
        <v>0</v>
      </c>
      <c r="D13" s="217"/>
      <c r="E13" s="217"/>
      <c r="F13" s="217"/>
    </row>
    <row r="14" spans="1:9" s="81" customFormat="1" ht="15" x14ac:dyDescent="0.25">
      <c r="A14" s="86" t="s">
        <v>101</v>
      </c>
      <c r="B14" s="87">
        <v>0</v>
      </c>
      <c r="C14" s="88">
        <f>B14/$B$86</f>
        <v>0</v>
      </c>
      <c r="D14" s="217"/>
      <c r="E14" s="217"/>
      <c r="F14" s="217"/>
    </row>
    <row r="15" spans="1:9" s="81" customFormat="1" ht="15" x14ac:dyDescent="0.25">
      <c r="A15" s="89" t="s">
        <v>102</v>
      </c>
      <c r="B15" s="197" t="s">
        <v>266</v>
      </c>
      <c r="C15" s="197" t="s">
        <v>266</v>
      </c>
      <c r="D15" s="217"/>
      <c r="E15" s="217"/>
      <c r="F15" s="217"/>
    </row>
    <row r="16" spans="1:9" s="81" customFormat="1" x14ac:dyDescent="0.2">
      <c r="A16" s="92" t="s">
        <v>76</v>
      </c>
      <c r="B16" s="90">
        <v>0</v>
      </c>
      <c r="C16" s="91">
        <f>B16/$B$86</f>
        <v>0</v>
      </c>
      <c r="D16" s="217"/>
      <c r="E16" s="217"/>
      <c r="F16" s="217"/>
    </row>
    <row r="17" spans="1:6" s="81" customFormat="1" x14ac:dyDescent="0.2">
      <c r="A17" s="92" t="s">
        <v>77</v>
      </c>
      <c r="B17" s="90">
        <v>0</v>
      </c>
      <c r="C17" s="91">
        <f>B17/$B$86</f>
        <v>0</v>
      </c>
      <c r="D17" s="217"/>
      <c r="E17" s="217"/>
      <c r="F17" s="217"/>
    </row>
    <row r="18" spans="1:6" s="81" customFormat="1" x14ac:dyDescent="0.2">
      <c r="A18" s="92" t="s">
        <v>71</v>
      </c>
      <c r="B18" s="90">
        <v>0</v>
      </c>
      <c r="C18" s="91">
        <f>B18/$B$86</f>
        <v>0</v>
      </c>
      <c r="D18" s="217"/>
      <c r="E18" s="217"/>
      <c r="F18" s="217"/>
    </row>
    <row r="19" spans="1:6" s="81" customFormat="1" ht="15" x14ac:dyDescent="0.25">
      <c r="A19" s="86" t="s">
        <v>103</v>
      </c>
      <c r="B19" s="87">
        <v>0</v>
      </c>
      <c r="C19" s="88">
        <f>B19/$B$86</f>
        <v>0</v>
      </c>
      <c r="D19" s="217"/>
      <c r="E19" s="217"/>
      <c r="F19" s="217"/>
    </row>
    <row r="20" spans="1:6" s="81" customFormat="1" ht="15" x14ac:dyDescent="0.25">
      <c r="A20" s="89" t="s">
        <v>104</v>
      </c>
      <c r="B20" s="197" t="s">
        <v>266</v>
      </c>
      <c r="C20" s="197" t="s">
        <v>266</v>
      </c>
      <c r="D20" s="217"/>
      <c r="E20" s="217"/>
      <c r="F20" s="217"/>
    </row>
    <row r="21" spans="1:6" s="81" customFormat="1" ht="15" x14ac:dyDescent="0.25">
      <c r="A21" s="89" t="s">
        <v>105</v>
      </c>
      <c r="B21" s="197" t="s">
        <v>266</v>
      </c>
      <c r="C21" s="197" t="s">
        <v>266</v>
      </c>
      <c r="D21" s="217"/>
      <c r="E21" s="217"/>
      <c r="F21" s="217"/>
    </row>
    <row r="22" spans="1:6" s="81" customFormat="1" x14ac:dyDescent="0.2">
      <c r="A22" s="92" t="s">
        <v>106</v>
      </c>
      <c r="B22" s="90">
        <v>0</v>
      </c>
      <c r="C22" s="91">
        <f>B22/$B$86</f>
        <v>0</v>
      </c>
      <c r="D22" s="217"/>
      <c r="E22" s="217"/>
      <c r="F22" s="217"/>
    </row>
    <row r="23" spans="1:6" s="81" customFormat="1" ht="15" x14ac:dyDescent="0.25">
      <c r="A23" s="86" t="s">
        <v>107</v>
      </c>
      <c r="B23" s="87">
        <v>0</v>
      </c>
      <c r="C23" s="88">
        <f>B23/$B$86</f>
        <v>0</v>
      </c>
      <c r="D23" s="217"/>
      <c r="E23" s="217"/>
      <c r="F23" s="217"/>
    </row>
    <row r="24" spans="1:6" s="81" customFormat="1" ht="15" x14ac:dyDescent="0.25">
      <c r="A24" s="89" t="s">
        <v>108</v>
      </c>
      <c r="B24" s="197" t="s">
        <v>266</v>
      </c>
      <c r="C24" s="197" t="s">
        <v>266</v>
      </c>
      <c r="D24" s="217"/>
      <c r="E24" s="217"/>
      <c r="F24" s="217"/>
    </row>
    <row r="25" spans="1:6" s="81" customFormat="1" x14ac:dyDescent="0.2">
      <c r="A25" s="92" t="s">
        <v>109</v>
      </c>
      <c r="B25" s="81">
        <v>0.27</v>
      </c>
      <c r="C25" s="91">
        <f>B25/$B$86</f>
        <v>6.4242023542629505E-6</v>
      </c>
      <c r="D25" s="217"/>
      <c r="E25" s="217"/>
      <c r="F25" s="217"/>
    </row>
    <row r="26" spans="1:6" ht="15" x14ac:dyDescent="0.25">
      <c r="A26" s="44" t="s">
        <v>115</v>
      </c>
      <c r="B26" s="68">
        <f>SUM(B25)</f>
        <v>0.27</v>
      </c>
      <c r="C26" s="4">
        <f>B26/$B$86</f>
        <v>6.4242023542629505E-6</v>
      </c>
      <c r="D26" s="217"/>
      <c r="E26" s="217"/>
      <c r="F26" s="217"/>
    </row>
    <row r="27" spans="1:6" ht="15" x14ac:dyDescent="0.25">
      <c r="A27" s="49" t="s">
        <v>116</v>
      </c>
      <c r="B27" s="69">
        <f>SUM(B23,B26)</f>
        <v>0.27</v>
      </c>
      <c r="C27" s="51">
        <f>B27/$B$86</f>
        <v>6.4242023542629505E-6</v>
      </c>
      <c r="D27" s="217"/>
      <c r="E27" s="217"/>
      <c r="F27" s="217"/>
    </row>
    <row r="28" spans="1:6" ht="15" x14ac:dyDescent="0.25">
      <c r="A28" s="40" t="s">
        <v>117</v>
      </c>
      <c r="B28" s="197" t="s">
        <v>266</v>
      </c>
      <c r="C28" s="197" t="s">
        <v>266</v>
      </c>
      <c r="D28" s="217"/>
      <c r="E28" s="217"/>
      <c r="F28" s="217"/>
    </row>
    <row r="29" spans="1:6" ht="15" x14ac:dyDescent="0.25">
      <c r="A29" s="40" t="s">
        <v>118</v>
      </c>
      <c r="B29" s="197" t="s">
        <v>266</v>
      </c>
      <c r="C29" s="197" t="s">
        <v>266</v>
      </c>
      <c r="D29" s="217"/>
      <c r="E29" s="217"/>
      <c r="F29" s="217"/>
    </row>
    <row r="30" spans="1:6" x14ac:dyDescent="0.2">
      <c r="A30" s="98" t="s">
        <v>175</v>
      </c>
      <c r="B30" s="99">
        <v>-0.14000000000000001</v>
      </c>
      <c r="C30" s="43">
        <f>B30/$B$86</f>
        <v>-3.331067887395604E-6</v>
      </c>
      <c r="D30" s="217"/>
      <c r="E30" s="217"/>
      <c r="F30" s="217"/>
    </row>
    <row r="31" spans="1:6" x14ac:dyDescent="0.2">
      <c r="A31" s="98" t="s">
        <v>119</v>
      </c>
      <c r="B31" s="99">
        <v>0.52</v>
      </c>
      <c r="C31" s="43">
        <f>B31/$B$86</f>
        <v>1.2372537867469386E-5</v>
      </c>
      <c r="D31" s="217"/>
      <c r="E31" s="217"/>
      <c r="F31" s="217"/>
    </row>
    <row r="32" spans="1:6" x14ac:dyDescent="0.2">
      <c r="A32" s="98" t="s">
        <v>176</v>
      </c>
      <c r="B32" s="99">
        <v>0.87</v>
      </c>
      <c r="C32" s="43">
        <f>B32/$B$86</f>
        <v>2.0700207585958394E-5</v>
      </c>
      <c r="D32" s="217"/>
      <c r="E32" s="217"/>
      <c r="F32" s="217"/>
    </row>
    <row r="33" spans="1:6 16384:16384" x14ac:dyDescent="0.2">
      <c r="A33" s="98" t="s">
        <v>120</v>
      </c>
      <c r="B33" s="99">
        <v>1.1299999999999999</v>
      </c>
      <c r="C33" s="43">
        <f>B33/$B$86</f>
        <v>2.6886476519693086E-5</v>
      </c>
      <c r="D33" s="217"/>
      <c r="E33" s="217"/>
      <c r="F33" s="217"/>
    </row>
    <row r="34" spans="1:6 16384:16384" x14ac:dyDescent="0.2">
      <c r="A34" s="98" t="s">
        <v>174</v>
      </c>
      <c r="B34" s="99">
        <v>0.91</v>
      </c>
      <c r="C34" s="43">
        <f>B34/$B$86</f>
        <v>2.1651941268071424E-5</v>
      </c>
      <c r="D34" s="217"/>
      <c r="E34" s="217"/>
      <c r="F34" s="217"/>
    </row>
    <row r="35" spans="1:6 16384:16384" ht="15" x14ac:dyDescent="0.25">
      <c r="A35" s="44" t="s">
        <v>122</v>
      </c>
      <c r="B35" s="68">
        <f>SUM(B30:B34)</f>
        <v>3.29</v>
      </c>
      <c r="C35" s="4">
        <f>SUM(C30:C34)</f>
        <v>7.8280095353796679E-5</v>
      </c>
      <c r="D35" s="217"/>
      <c r="E35" s="217"/>
      <c r="F35" s="217"/>
      <c r="XFD35" s="93">
        <f>SUM(C35)</f>
        <v>7.8280095353796679E-5</v>
      </c>
    </row>
    <row r="36" spans="1:6 16384:16384" ht="15" x14ac:dyDescent="0.25">
      <c r="A36" s="40" t="s">
        <v>123</v>
      </c>
      <c r="B36" s="197" t="s">
        <v>266</v>
      </c>
      <c r="C36" s="197" t="s">
        <v>266</v>
      </c>
      <c r="D36" s="217"/>
      <c r="E36" s="217"/>
      <c r="F36" s="217"/>
    </row>
    <row r="37" spans="1:6 16384:16384" x14ac:dyDescent="0.2">
      <c r="A37" s="98" t="s">
        <v>253</v>
      </c>
      <c r="B37" s="99">
        <v>0.3</v>
      </c>
      <c r="C37" s="94">
        <f t="shared" ref="C37:C48" si="0">B37/$B$86</f>
        <v>7.1380026158477224E-6</v>
      </c>
      <c r="D37" s="217"/>
      <c r="E37" s="217"/>
      <c r="F37" s="217"/>
    </row>
    <row r="38" spans="1:6 16384:16384" x14ac:dyDescent="0.2">
      <c r="A38" s="98" t="s">
        <v>177</v>
      </c>
      <c r="B38" s="99">
        <v>1.22</v>
      </c>
      <c r="C38" s="94">
        <f t="shared" si="0"/>
        <v>2.9027877304447403E-5</v>
      </c>
      <c r="D38" s="217"/>
      <c r="E38" s="217"/>
      <c r="F38" s="217"/>
    </row>
    <row r="39" spans="1:6 16384:16384" x14ac:dyDescent="0.2">
      <c r="A39" s="98" t="s">
        <v>124</v>
      </c>
      <c r="B39" s="99">
        <v>0.06</v>
      </c>
      <c r="C39" s="94">
        <f t="shared" si="0"/>
        <v>1.4276005231695444E-6</v>
      </c>
      <c r="D39" s="217"/>
      <c r="E39" s="217"/>
      <c r="F39" s="217"/>
    </row>
    <row r="40" spans="1:6 16384:16384" x14ac:dyDescent="0.2">
      <c r="A40" s="98" t="s">
        <v>125</v>
      </c>
      <c r="B40" s="99">
        <v>0.06</v>
      </c>
      <c r="C40" s="94">
        <f t="shared" si="0"/>
        <v>1.4276005231695444E-6</v>
      </c>
      <c r="D40" s="217"/>
      <c r="E40" s="217"/>
      <c r="F40" s="217"/>
    </row>
    <row r="41" spans="1:6 16384:16384" x14ac:dyDescent="0.2">
      <c r="A41" s="98" t="s">
        <v>126</v>
      </c>
      <c r="B41" s="99">
        <v>0.15</v>
      </c>
      <c r="C41" s="94">
        <f t="shared" si="0"/>
        <v>3.5690013079238612E-6</v>
      </c>
      <c r="D41" s="217"/>
      <c r="E41" s="217"/>
      <c r="F41" s="217"/>
    </row>
    <row r="42" spans="1:6 16384:16384" x14ac:dyDescent="0.2">
      <c r="A42" s="98" t="s">
        <v>130</v>
      </c>
      <c r="B42" s="99">
        <v>0.1</v>
      </c>
      <c r="C42" s="94">
        <f t="shared" si="0"/>
        <v>2.3793342052825741E-6</v>
      </c>
      <c r="D42" s="217"/>
      <c r="E42" s="217"/>
      <c r="F42" s="217"/>
    </row>
    <row r="43" spans="1:6 16384:16384" x14ac:dyDescent="0.2">
      <c r="A43" s="98" t="s">
        <v>166</v>
      </c>
      <c r="B43" s="99">
        <v>0.62</v>
      </c>
      <c r="C43" s="94">
        <f t="shared" si="0"/>
        <v>1.475187207275196E-5</v>
      </c>
      <c r="D43" s="217"/>
      <c r="E43" s="217"/>
      <c r="F43" s="217"/>
    </row>
    <row r="44" spans="1:6 16384:16384" x14ac:dyDescent="0.2">
      <c r="A44" s="98" t="s">
        <v>132</v>
      </c>
      <c r="B44" s="99">
        <v>3.77</v>
      </c>
      <c r="C44" s="94">
        <f t="shared" si="0"/>
        <v>8.9700899539153043E-5</v>
      </c>
      <c r="D44" s="217"/>
      <c r="E44" s="217"/>
      <c r="F44" s="217"/>
    </row>
    <row r="45" spans="1:6 16384:16384" x14ac:dyDescent="0.2">
      <c r="A45" s="98" t="s">
        <v>147</v>
      </c>
      <c r="B45" s="99">
        <v>0.1</v>
      </c>
      <c r="C45" s="94">
        <f t="shared" si="0"/>
        <v>2.3793342052825741E-6</v>
      </c>
      <c r="D45" s="217"/>
      <c r="E45" s="217"/>
      <c r="F45" s="217"/>
    </row>
    <row r="46" spans="1:6 16384:16384" x14ac:dyDescent="0.2">
      <c r="A46" s="98" t="s">
        <v>148</v>
      </c>
      <c r="B46" s="99">
        <v>0.43</v>
      </c>
      <c r="C46" s="94">
        <f t="shared" si="0"/>
        <v>1.0231137082715068E-5</v>
      </c>
      <c r="D46" s="217"/>
      <c r="E46" s="217"/>
      <c r="F46" s="217"/>
    </row>
    <row r="47" spans="1:6 16384:16384" x14ac:dyDescent="0.2">
      <c r="A47" s="98" t="s">
        <v>178</v>
      </c>
      <c r="B47" s="99">
        <v>1.27</v>
      </c>
      <c r="C47" s="94">
        <f t="shared" si="0"/>
        <v>3.0217544407088693E-5</v>
      </c>
      <c r="D47" s="217"/>
      <c r="E47" s="217"/>
      <c r="F47" s="217"/>
    </row>
    <row r="48" spans="1:6 16384:16384" x14ac:dyDescent="0.2">
      <c r="A48" s="98" t="s">
        <v>136</v>
      </c>
      <c r="B48" s="99">
        <v>0.39</v>
      </c>
      <c r="C48" s="94">
        <f t="shared" si="0"/>
        <v>9.2794034006020398E-6</v>
      </c>
      <c r="D48" s="217"/>
      <c r="E48" s="217"/>
      <c r="F48" s="217"/>
    </row>
    <row r="49" spans="1:6" x14ac:dyDescent="0.2">
      <c r="A49" s="98" t="s">
        <v>137</v>
      </c>
      <c r="B49" s="99">
        <v>0.31</v>
      </c>
      <c r="C49" s="94">
        <f t="shared" ref="C49:C78" si="1">B49/$B$86</f>
        <v>7.37593603637598E-6</v>
      </c>
      <c r="D49" s="217"/>
      <c r="E49" s="217"/>
      <c r="F49" s="217"/>
    </row>
    <row r="50" spans="1:6" x14ac:dyDescent="0.2">
      <c r="A50" s="98" t="s">
        <v>138</v>
      </c>
      <c r="B50" s="99">
        <v>0</v>
      </c>
      <c r="C50" s="94">
        <f t="shared" si="1"/>
        <v>0</v>
      </c>
      <c r="D50" s="217"/>
      <c r="E50" s="217"/>
      <c r="F50" s="217"/>
    </row>
    <row r="51" spans="1:6" x14ac:dyDescent="0.2">
      <c r="A51" s="98" t="s">
        <v>139</v>
      </c>
      <c r="B51" s="99">
        <v>0.01</v>
      </c>
      <c r="C51" s="94">
        <f t="shared" si="1"/>
        <v>2.3793342052825742E-7</v>
      </c>
      <c r="D51" s="217"/>
      <c r="E51" s="217"/>
      <c r="F51" s="217"/>
    </row>
    <row r="52" spans="1:6" x14ac:dyDescent="0.2">
      <c r="A52" s="98" t="s">
        <v>140</v>
      </c>
      <c r="B52" s="99">
        <v>0.33</v>
      </c>
      <c r="C52" s="94">
        <f t="shared" si="1"/>
        <v>7.8518028774324943E-6</v>
      </c>
      <c r="D52" s="217"/>
      <c r="E52" s="217"/>
      <c r="F52" s="217"/>
    </row>
    <row r="53" spans="1:6" x14ac:dyDescent="0.2">
      <c r="A53" s="98" t="s">
        <v>143</v>
      </c>
      <c r="B53" s="99">
        <v>1.06</v>
      </c>
      <c r="C53" s="94">
        <f t="shared" si="1"/>
        <v>2.5220942575995288E-5</v>
      </c>
      <c r="D53" s="217"/>
      <c r="E53" s="217"/>
      <c r="F53" s="217"/>
    </row>
    <row r="54" spans="1:6" x14ac:dyDescent="0.2">
      <c r="A54" s="98" t="s">
        <v>146</v>
      </c>
      <c r="B54" s="99">
        <v>0.83</v>
      </c>
      <c r="C54" s="94">
        <f t="shared" si="1"/>
        <v>1.9748473903845363E-5</v>
      </c>
      <c r="D54" s="217"/>
      <c r="E54" s="217"/>
      <c r="F54" s="217"/>
    </row>
    <row r="55" spans="1:6" x14ac:dyDescent="0.2">
      <c r="A55" s="98" t="s">
        <v>144</v>
      </c>
      <c r="B55" s="99">
        <v>2.3199999999999998</v>
      </c>
      <c r="C55" s="94">
        <f t="shared" si="1"/>
        <v>5.5200553562555718E-5</v>
      </c>
      <c r="D55" s="217"/>
      <c r="E55" s="217"/>
      <c r="F55" s="217"/>
    </row>
    <row r="56" spans="1:6" x14ac:dyDescent="0.2">
      <c r="A56" s="98" t="s">
        <v>145</v>
      </c>
      <c r="B56" s="99">
        <v>3.58</v>
      </c>
      <c r="C56" s="94">
        <f t="shared" si="1"/>
        <v>8.5180164549116162E-5</v>
      </c>
      <c r="D56" s="217"/>
      <c r="E56" s="217"/>
      <c r="F56" s="217"/>
    </row>
    <row r="57" spans="1:6" x14ac:dyDescent="0.2">
      <c r="A57" s="98" t="s">
        <v>151</v>
      </c>
      <c r="B57" s="99">
        <v>0.08</v>
      </c>
      <c r="C57" s="94">
        <f t="shared" si="1"/>
        <v>1.9034673642260594E-6</v>
      </c>
      <c r="D57" s="217"/>
      <c r="E57" s="217"/>
      <c r="F57" s="217"/>
    </row>
    <row r="58" spans="1:6" x14ac:dyDescent="0.2">
      <c r="A58" s="98" t="s">
        <v>153</v>
      </c>
      <c r="B58" s="99">
        <v>0.39</v>
      </c>
      <c r="C58" s="94">
        <f t="shared" si="1"/>
        <v>9.2794034006020398E-6</v>
      </c>
      <c r="D58" s="217"/>
      <c r="E58" s="217"/>
      <c r="F58" s="217"/>
    </row>
    <row r="59" spans="1:6" x14ac:dyDescent="0.2">
      <c r="A59" s="98" t="s">
        <v>154</v>
      </c>
      <c r="B59" s="99">
        <v>0.37</v>
      </c>
      <c r="C59" s="94">
        <f t="shared" si="1"/>
        <v>8.8035365595455246E-6</v>
      </c>
      <c r="D59" s="217"/>
      <c r="E59" s="217"/>
      <c r="F59" s="217"/>
    </row>
    <row r="60" spans="1:6" x14ac:dyDescent="0.2">
      <c r="A60" s="98" t="s">
        <v>179</v>
      </c>
      <c r="B60" s="99">
        <v>1.46</v>
      </c>
      <c r="C60" s="94">
        <f t="shared" si="1"/>
        <v>3.4738279397125578E-5</v>
      </c>
      <c r="D60" s="217"/>
      <c r="E60" s="217"/>
      <c r="F60" s="217"/>
    </row>
    <row r="61" spans="1:6" x14ac:dyDescent="0.2">
      <c r="A61" s="98" t="s">
        <v>155</v>
      </c>
      <c r="B61" s="99">
        <v>2.52</v>
      </c>
      <c r="C61" s="94">
        <f t="shared" si="1"/>
        <v>5.9959221973120867E-5</v>
      </c>
      <c r="D61" s="217"/>
      <c r="E61" s="217"/>
      <c r="F61" s="217"/>
    </row>
    <row r="62" spans="1:6" x14ac:dyDescent="0.2">
      <c r="A62" s="98" t="s">
        <v>193</v>
      </c>
      <c r="B62" s="99">
        <v>0.68</v>
      </c>
      <c r="C62" s="94">
        <f t="shared" si="1"/>
        <v>1.6179472595921505E-5</v>
      </c>
      <c r="D62" s="217"/>
      <c r="E62" s="217"/>
      <c r="F62" s="217"/>
    </row>
    <row r="63" spans="1:6" x14ac:dyDescent="0.2">
      <c r="A63" s="98" t="s">
        <v>180</v>
      </c>
      <c r="B63" s="99">
        <v>1.1499999999999999</v>
      </c>
      <c r="C63" s="94">
        <f t="shared" si="1"/>
        <v>2.7362343360749599E-5</v>
      </c>
      <c r="D63" s="217"/>
      <c r="E63" s="217"/>
      <c r="F63" s="217"/>
    </row>
    <row r="64" spans="1:6" x14ac:dyDescent="0.2">
      <c r="A64" s="98" t="s">
        <v>181</v>
      </c>
      <c r="B64" s="99">
        <v>0.74</v>
      </c>
      <c r="C64" s="94">
        <f>B64/$B$86</f>
        <v>1.7607073119091049E-5</v>
      </c>
      <c r="D64" s="217"/>
      <c r="E64" s="217"/>
      <c r="F64" s="217"/>
    </row>
    <row r="65" spans="1:6" x14ac:dyDescent="0.2">
      <c r="A65" s="98" t="s">
        <v>182</v>
      </c>
      <c r="B65" s="99">
        <v>0.24</v>
      </c>
      <c r="C65" s="94">
        <f t="shared" si="1"/>
        <v>5.7104020926781777E-6</v>
      </c>
      <c r="D65" s="217"/>
      <c r="E65" s="217"/>
      <c r="F65" s="217"/>
    </row>
    <row r="66" spans="1:6" x14ac:dyDescent="0.2">
      <c r="A66" s="98" t="s">
        <v>183</v>
      </c>
      <c r="B66" s="99">
        <v>0.52</v>
      </c>
      <c r="C66" s="94">
        <f t="shared" si="1"/>
        <v>1.2372537867469386E-5</v>
      </c>
      <c r="D66" s="217"/>
      <c r="E66" s="217"/>
      <c r="F66" s="217"/>
    </row>
    <row r="67" spans="1:6" x14ac:dyDescent="0.2">
      <c r="A67" s="98" t="s">
        <v>184</v>
      </c>
      <c r="B67" s="99">
        <v>0.39</v>
      </c>
      <c r="C67" s="94">
        <f t="shared" si="1"/>
        <v>9.2794034006020398E-6</v>
      </c>
      <c r="D67" s="217"/>
      <c r="E67" s="217"/>
      <c r="F67" s="217"/>
    </row>
    <row r="68" spans="1:6" x14ac:dyDescent="0.2">
      <c r="A68" s="98" t="s">
        <v>233</v>
      </c>
      <c r="B68" s="99">
        <v>0.04</v>
      </c>
      <c r="C68" s="94">
        <f t="shared" si="1"/>
        <v>9.5173368211302969E-7</v>
      </c>
      <c r="D68" s="217"/>
      <c r="E68" s="217"/>
      <c r="F68" s="217"/>
    </row>
    <row r="69" spans="1:6" x14ac:dyDescent="0.2">
      <c r="A69" s="98" t="s">
        <v>157</v>
      </c>
      <c r="B69" s="99">
        <v>0.12</v>
      </c>
      <c r="C69" s="94">
        <f t="shared" si="1"/>
        <v>2.8552010463390889E-6</v>
      </c>
      <c r="D69" s="217"/>
      <c r="E69" s="217"/>
      <c r="F69" s="217"/>
    </row>
    <row r="70" spans="1:6" x14ac:dyDescent="0.2">
      <c r="A70" s="98" t="s">
        <v>234</v>
      </c>
      <c r="B70" s="99">
        <v>0.45</v>
      </c>
      <c r="C70" s="94">
        <f t="shared" si="1"/>
        <v>1.0707003923771584E-5</v>
      </c>
      <c r="D70" s="217"/>
      <c r="E70" s="217"/>
      <c r="F70" s="217"/>
    </row>
    <row r="71" spans="1:6" x14ac:dyDescent="0.2">
      <c r="A71" s="98" t="s">
        <v>235</v>
      </c>
      <c r="B71" s="99">
        <v>3.61</v>
      </c>
      <c r="C71" s="94">
        <f t="shared" si="1"/>
        <v>8.5893964810700922E-5</v>
      </c>
      <c r="D71" s="217"/>
      <c r="E71" s="217"/>
      <c r="F71" s="217"/>
    </row>
    <row r="72" spans="1:6" x14ac:dyDescent="0.2">
      <c r="A72" s="98" t="s">
        <v>236</v>
      </c>
      <c r="B72" s="99">
        <v>0.04</v>
      </c>
      <c r="C72" s="94">
        <f t="shared" si="1"/>
        <v>9.5173368211302969E-7</v>
      </c>
      <c r="D72" s="217"/>
      <c r="E72" s="217"/>
      <c r="F72" s="217"/>
    </row>
    <row r="73" spans="1:6" x14ac:dyDescent="0.2">
      <c r="A73" s="98" t="s">
        <v>237</v>
      </c>
      <c r="B73" s="99">
        <v>0.01</v>
      </c>
      <c r="C73" s="94">
        <f t="shared" si="1"/>
        <v>2.3793342052825742E-7</v>
      </c>
      <c r="D73" s="217"/>
      <c r="E73" s="217"/>
      <c r="F73" s="217"/>
    </row>
    <row r="74" spans="1:6" x14ac:dyDescent="0.2">
      <c r="A74" s="98" t="s">
        <v>238</v>
      </c>
      <c r="B74" s="99">
        <v>2.34</v>
      </c>
      <c r="C74" s="94">
        <f t="shared" si="1"/>
        <v>5.5676420403612232E-5</v>
      </c>
      <c r="D74" s="217"/>
      <c r="E74" s="217"/>
      <c r="F74" s="217"/>
    </row>
    <row r="75" spans="1:6" x14ac:dyDescent="0.2">
      <c r="A75" s="98" t="s">
        <v>239</v>
      </c>
      <c r="B75" s="99">
        <v>0.28000000000000003</v>
      </c>
      <c r="C75" s="94">
        <f t="shared" si="1"/>
        <v>6.6621357747912081E-6</v>
      </c>
      <c r="D75" s="217"/>
      <c r="E75" s="217"/>
      <c r="F75" s="217"/>
    </row>
    <row r="76" spans="1:6" x14ac:dyDescent="0.2">
      <c r="A76" s="98" t="s">
        <v>240</v>
      </c>
      <c r="B76" s="99">
        <v>0.54</v>
      </c>
      <c r="C76" s="94">
        <f t="shared" si="1"/>
        <v>1.2848404708525901E-5</v>
      </c>
      <c r="D76" s="217"/>
      <c r="E76" s="217"/>
      <c r="F76" s="217"/>
    </row>
    <row r="77" spans="1:6" x14ac:dyDescent="0.2">
      <c r="A77" s="98" t="s">
        <v>241</v>
      </c>
      <c r="B77" s="99">
        <v>0.33</v>
      </c>
      <c r="C77" s="94">
        <f t="shared" si="1"/>
        <v>7.8518028774324943E-6</v>
      </c>
      <c r="D77" s="217"/>
      <c r="E77" s="217"/>
      <c r="F77" s="217"/>
    </row>
    <row r="78" spans="1:6" x14ac:dyDescent="0.2">
      <c r="A78" s="98" t="s">
        <v>242</v>
      </c>
      <c r="B78" s="99">
        <v>0.19</v>
      </c>
      <c r="C78" s="94">
        <f t="shared" si="1"/>
        <v>4.5207349900368907E-6</v>
      </c>
      <c r="D78" s="217"/>
      <c r="E78" s="217"/>
      <c r="F78" s="217"/>
    </row>
    <row r="79" spans="1:6" x14ac:dyDescent="0.2">
      <c r="A79" s="98" t="s">
        <v>149</v>
      </c>
      <c r="B79" s="99">
        <v>0.05</v>
      </c>
      <c r="C79" s="94">
        <f t="shared" ref="C79:C82" si="2">B79/$B$86</f>
        <v>1.1896671026412871E-6</v>
      </c>
      <c r="D79" s="217"/>
      <c r="E79" s="217"/>
      <c r="F79" s="217"/>
    </row>
    <row r="80" spans="1:6" x14ac:dyDescent="0.2">
      <c r="A80" s="98" t="s">
        <v>159</v>
      </c>
      <c r="B80" s="99">
        <v>1.35</v>
      </c>
      <c r="C80" s="94">
        <f t="shared" si="2"/>
        <v>3.2121011771314751E-5</v>
      </c>
      <c r="D80" s="217"/>
      <c r="E80" s="217"/>
      <c r="F80" s="217"/>
    </row>
    <row r="81" spans="1:6" x14ac:dyDescent="0.2">
      <c r="A81" s="98" t="s">
        <v>185</v>
      </c>
      <c r="B81" s="99">
        <v>1.27</v>
      </c>
      <c r="C81" s="94">
        <f t="shared" si="2"/>
        <v>3.0217544407088693E-5</v>
      </c>
      <c r="D81" s="217"/>
      <c r="E81" s="217"/>
      <c r="F81" s="217"/>
    </row>
    <row r="82" spans="1:6" x14ac:dyDescent="0.2">
      <c r="A82" s="98" t="s">
        <v>160</v>
      </c>
      <c r="B82" s="99">
        <v>3.42</v>
      </c>
      <c r="C82" s="94">
        <f t="shared" si="2"/>
        <v>8.1373229820664041E-5</v>
      </c>
      <c r="D82" s="217"/>
      <c r="E82" s="217"/>
      <c r="F82" s="217"/>
    </row>
    <row r="83" spans="1:6" ht="15" x14ac:dyDescent="0.25">
      <c r="A83" s="98" t="s">
        <v>162</v>
      </c>
      <c r="B83" s="99">
        <v>0.7</v>
      </c>
      <c r="C83" s="4">
        <f>SUM(C37:C82)</f>
        <v>9.3959907766608868E-4</v>
      </c>
      <c r="D83" s="217"/>
      <c r="E83" s="217"/>
      <c r="F83" s="217"/>
    </row>
    <row r="84" spans="1:6" ht="15" x14ac:dyDescent="0.25">
      <c r="A84" s="49" t="s">
        <v>164</v>
      </c>
      <c r="B84" s="69">
        <f>SUM(B35,B37:B83)</f>
        <v>43.48</v>
      </c>
      <c r="C84" s="51">
        <f>B84/$B$86</f>
        <v>1.0345345124568631E-3</v>
      </c>
      <c r="D84" s="217"/>
      <c r="E84" s="217"/>
      <c r="F84" s="217"/>
    </row>
    <row r="85" spans="1:6" ht="15" x14ac:dyDescent="0.25">
      <c r="A85" s="55" t="s">
        <v>165</v>
      </c>
      <c r="B85" s="64">
        <f>SUM(B6,B9,B14,B19,B27,B84,)</f>
        <v>43.75</v>
      </c>
      <c r="C85" s="65">
        <f>B85/$B$86</f>
        <v>1.0409587148111261E-3</v>
      </c>
      <c r="D85" s="217"/>
      <c r="E85" s="217"/>
      <c r="F85" s="217"/>
    </row>
    <row r="86" spans="1:6" s="54" customFormat="1" ht="15" x14ac:dyDescent="0.25">
      <c r="A86" s="55" t="s">
        <v>30</v>
      </c>
      <c r="B86" s="32">
        <f>[1]גיליון1!$G$14/1000</f>
        <v>42028.5640318964</v>
      </c>
      <c r="C86" s="65">
        <f>B86/$B$86</f>
        <v>1</v>
      </c>
      <c r="D86" s="217"/>
      <c r="E86" s="217"/>
      <c r="F86" s="217"/>
    </row>
    <row r="87" spans="1:6" x14ac:dyDescent="0.2">
      <c r="A87" s="206" t="s">
        <v>267</v>
      </c>
      <c r="B87" s="206"/>
      <c r="C87" s="206"/>
      <c r="D87" s="206"/>
      <c r="E87" s="206"/>
      <c r="F87" s="206"/>
    </row>
  </sheetData>
  <mergeCells count="3">
    <mergeCell ref="D3:F86"/>
    <mergeCell ref="A1:F1"/>
    <mergeCell ref="A87:F8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G15"/>
  <sheetViews>
    <sheetView rightToLeft="1" workbookViewId="0">
      <selection activeCell="G12" sqref="G12"/>
    </sheetView>
  </sheetViews>
  <sheetFormatPr defaultRowHeight="14.25" outlineLevelCol="1" x14ac:dyDescent="0.2"/>
  <cols>
    <col min="1" max="1" width="46.375" bestFit="1" customWidth="1"/>
    <col min="2" max="2" width="12.375" bestFit="1" customWidth="1"/>
    <col min="3" max="3" width="12.375" customWidth="1"/>
    <col min="4" max="4" width="12.375" customWidth="1" outlineLevel="1"/>
    <col min="5" max="6" width="9.875" customWidth="1" outlineLevel="1"/>
    <col min="7" max="7" width="9.875" bestFit="1" customWidth="1"/>
  </cols>
  <sheetData>
    <row r="1" spans="1:7" ht="15" x14ac:dyDescent="0.25">
      <c r="A1" s="101" t="s">
        <v>1</v>
      </c>
      <c r="B1" s="101" t="s">
        <v>2</v>
      </c>
      <c r="C1" s="102" t="s">
        <v>212</v>
      </c>
      <c r="D1" s="103" t="s">
        <v>213</v>
      </c>
      <c r="E1" s="103" t="s">
        <v>214</v>
      </c>
      <c r="F1" s="103" t="s">
        <v>215</v>
      </c>
      <c r="G1" s="103" t="s">
        <v>216</v>
      </c>
    </row>
    <row r="2" spans="1:7" ht="15" x14ac:dyDescent="0.25">
      <c r="A2" s="104" t="s">
        <v>90</v>
      </c>
      <c r="B2" s="105">
        <v>207.51555923704734</v>
      </c>
      <c r="C2" s="67">
        <f>SUM(D2:F2)</f>
        <v>384.34455923704729</v>
      </c>
      <c r="D2" s="67">
        <f>SUMIF('נספח 3 - כללי'!$A:$A,A2,'נספח 3 - כללי'!$B:$B)</f>
        <v>384.34455923704729</v>
      </c>
      <c r="E2" s="67">
        <f>SUMIF('נספח 3-אג"ח'!$A:$A,A2,'נספח 3-אג"ח'!$B:$B)</f>
        <v>0</v>
      </c>
      <c r="F2" s="67">
        <f>SUMIF('נספח 3 - מניות'!$A:$A,A2,'נספח 3 - מניות'!$B:$B)</f>
        <v>0</v>
      </c>
      <c r="G2" s="106">
        <f>C2-B2</f>
        <v>176.82899999999995</v>
      </c>
    </row>
    <row r="3" spans="1:7" ht="15" x14ac:dyDescent="0.25">
      <c r="A3" s="104" t="s">
        <v>99</v>
      </c>
      <c r="B3" s="105">
        <v>207.77105</v>
      </c>
      <c r="C3" s="67">
        <f t="shared" ref="C3:C12" si="0">SUM(D3:F3)</f>
        <v>408.19365000000005</v>
      </c>
      <c r="D3" s="67">
        <f>SUMIF('נספח 3 - כללי'!$A:$A,A3,'נספח 3 - כללי'!$B:$B)</f>
        <v>408.19365000000005</v>
      </c>
      <c r="E3" s="67">
        <f>SUMIF('נספח 3-אג"ח'!$A:$A,A3,'נספח 3-אג"ח'!$B:$B)</f>
        <v>0</v>
      </c>
      <c r="F3" s="67">
        <f>SUMIF('נספח 3 - מניות'!$A:$A,A3,'נספח 3 - מניות'!$B:$B)</f>
        <v>0</v>
      </c>
      <c r="G3" s="106">
        <f t="shared" ref="G3:G13" si="1">C3-B3</f>
        <v>200.42260000000005</v>
      </c>
    </row>
    <row r="4" spans="1:7" ht="15" x14ac:dyDescent="0.25">
      <c r="A4" s="104" t="s">
        <v>101</v>
      </c>
      <c r="B4" s="105">
        <v>0</v>
      </c>
      <c r="C4" s="67">
        <f t="shared" si="0"/>
        <v>0</v>
      </c>
      <c r="D4" s="67">
        <f>SUMIF('נספח 3 - כללי'!$A:$A,A4,'נספח 3 - כללי'!$B:$B)</f>
        <v>0</v>
      </c>
      <c r="E4" s="67">
        <f>SUMIF('נספח 3-אג"ח'!$A:$A,A4,'נספח 3-אג"ח'!$B:$B)</f>
        <v>0</v>
      </c>
      <c r="F4" s="67">
        <f>SUMIF('נספח 3 - מניות'!$A:$A,A4,'נספח 3 - מניות'!$B:$B)</f>
        <v>0</v>
      </c>
      <c r="G4" s="106">
        <f t="shared" si="1"/>
        <v>0</v>
      </c>
    </row>
    <row r="5" spans="1:7" ht="15" x14ac:dyDescent="0.25">
      <c r="A5" s="104" t="s">
        <v>103</v>
      </c>
      <c r="B5" s="105">
        <v>0</v>
      </c>
      <c r="C5" s="67">
        <f t="shared" si="0"/>
        <v>0</v>
      </c>
      <c r="D5" s="67">
        <f>SUMIF('נספח 3 - כללי'!$A:$A,A5,'נספח 3 - כללי'!$B:$B)</f>
        <v>0</v>
      </c>
      <c r="E5" s="67">
        <f>SUMIF('נספח 3-אג"ח'!$A:$A,A5,'נספח 3-אג"ח'!$B:$B)</f>
        <v>0</v>
      </c>
      <c r="F5" s="67">
        <f>SUMIF('נספח 3 - מניות'!$A:$A,A5,'נספח 3 - מניות'!$B:$B)</f>
        <v>0</v>
      </c>
      <c r="G5" s="106">
        <f t="shared" si="1"/>
        <v>0</v>
      </c>
    </row>
    <row r="6" spans="1:7" ht="15" x14ac:dyDescent="0.25">
      <c r="A6" s="104" t="s">
        <v>107</v>
      </c>
      <c r="B6" s="105">
        <v>0</v>
      </c>
      <c r="C6" s="67">
        <f t="shared" si="0"/>
        <v>0</v>
      </c>
      <c r="D6" s="67">
        <f>SUMIF('נספח 3 - כללי'!$A:$A,A6,'נספח 3 - כללי'!$B:$B)</f>
        <v>0</v>
      </c>
      <c r="E6" s="67">
        <f>SUMIF('נספח 3-אג"ח'!$A:$A,A6,'נספח 3-אג"ח'!$B:$B)</f>
        <v>0</v>
      </c>
      <c r="F6" s="67">
        <f>SUMIF('נספח 3 - מניות'!$A:$A,A6,'נספח 3 - מניות'!$B:$B)</f>
        <v>0</v>
      </c>
      <c r="G6" s="106">
        <f t="shared" si="1"/>
        <v>0</v>
      </c>
    </row>
    <row r="7" spans="1:7" ht="15" x14ac:dyDescent="0.25">
      <c r="A7" s="104" t="s">
        <v>115</v>
      </c>
      <c r="B7" s="105">
        <v>29.94</v>
      </c>
      <c r="C7" s="67">
        <f t="shared" si="0"/>
        <v>89.17</v>
      </c>
      <c r="D7" s="67">
        <f>SUMIF('נספח 3 - כללי'!$A:$A,A7,'נספח 3 - כללי'!$B:$B)</f>
        <v>88.9</v>
      </c>
      <c r="E7" s="67">
        <f>SUMIF('נספח 3-אג"ח'!$A:$A,A7,'נספח 3-אג"ח'!$B:$B)</f>
        <v>0</v>
      </c>
      <c r="F7" s="67">
        <f>SUMIF('נספח 3 - מניות'!$A:$A,A7,'נספח 3 - מניות'!$B:$B)</f>
        <v>0.27</v>
      </c>
      <c r="G7" s="106"/>
    </row>
    <row r="8" spans="1:7" ht="15" x14ac:dyDescent="0.25">
      <c r="A8" s="107" t="s">
        <v>122</v>
      </c>
      <c r="B8" s="108">
        <v>251.06</v>
      </c>
      <c r="C8" s="67">
        <f t="shared" si="0"/>
        <v>522.34999999999991</v>
      </c>
      <c r="D8" s="67">
        <f>SUMIF('נספח 3 - כללי'!$A:$A,A8,'נספח 3 - כללי'!$B:$B)</f>
        <v>519.05999999999995</v>
      </c>
      <c r="E8" s="67">
        <f>SUMIF('נספח 3-אג"ח'!$A:$A,A8,'נספח 3-אג"ח'!$B:$B)</f>
        <v>0</v>
      </c>
      <c r="F8" s="67">
        <f>SUMIF('נספח 3 - מניות'!$A:$A,A8,'נספח 3 - מניות'!$B:$B)</f>
        <v>3.29</v>
      </c>
      <c r="G8" s="106">
        <f t="shared" si="1"/>
        <v>271.28999999999991</v>
      </c>
    </row>
    <row r="9" spans="1:7" ht="15" x14ac:dyDescent="0.25">
      <c r="A9" s="104" t="s">
        <v>163</v>
      </c>
      <c r="B9" s="105">
        <v>584.61</v>
      </c>
      <c r="C9" s="67">
        <f t="shared" si="0"/>
        <v>915.86000000000024</v>
      </c>
      <c r="D9" s="67">
        <f>SUMIF('נספח 3 - כללי'!$A:$A,A9,'נספח 3 - כללי'!$B:$B)</f>
        <v>915.86000000000024</v>
      </c>
      <c r="E9" s="67">
        <f>SUMIF('נספח 3-אג"ח'!$A:$A,A9,'נספח 3-אג"ח'!$B:$B)</f>
        <v>0</v>
      </c>
      <c r="F9" s="67">
        <f>SUMIF('נספח 3 - מניות'!$A:$A,A9,'נספח 3 - מניות'!$B:$B)</f>
        <v>0</v>
      </c>
      <c r="G9" s="106">
        <f t="shared" si="1"/>
        <v>331.25000000000023</v>
      </c>
    </row>
    <row r="10" spans="1:7" ht="15" x14ac:dyDescent="0.25">
      <c r="A10" s="104" t="s">
        <v>163</v>
      </c>
      <c r="B10" s="105">
        <v>584.61</v>
      </c>
      <c r="C10" s="67">
        <f t="shared" si="0"/>
        <v>915.86000000000024</v>
      </c>
      <c r="D10" s="67">
        <f>SUMIF('נספח 3 - כללי'!$A:$A,A10,'נספח 3 - כללי'!$B:$B)</f>
        <v>915.86000000000024</v>
      </c>
      <c r="E10" s="67">
        <f>SUMIF('נספח 3-אג"ח'!$A:$A,A10,'נספח 3-אג"ח'!$B:$B)</f>
        <v>0</v>
      </c>
      <c r="F10" s="67">
        <f>SUMIF('נספח 3 - מניות'!$A:$A,A10,'נספח 3 - מניות'!$B:$B)</f>
        <v>0</v>
      </c>
      <c r="G10" s="106">
        <f t="shared" si="1"/>
        <v>331.25000000000023</v>
      </c>
    </row>
    <row r="11" spans="1:7" ht="15" x14ac:dyDescent="0.25">
      <c r="A11" s="107" t="s">
        <v>164</v>
      </c>
      <c r="B11" s="108">
        <v>835.67</v>
      </c>
      <c r="C11" s="67">
        <f t="shared" si="0"/>
        <v>1478.4</v>
      </c>
      <c r="D11" s="67">
        <f>SUMIF('נספח 3 - כללי'!$A:$A,A11,'נספח 3 - כללי'!$B:$B)</f>
        <v>1434.92</v>
      </c>
      <c r="E11" s="67">
        <f>SUMIF('נספח 3-אג"ח'!$A:$A,A11,'נספח 3-אג"ח'!$B:$B)</f>
        <v>0</v>
      </c>
      <c r="F11" s="67">
        <f>SUMIF('נספח 3 - מניות'!$A:$A,A11,'נספח 3 - מניות'!$B:$B)</f>
        <v>43.48</v>
      </c>
      <c r="G11" s="106">
        <f t="shared" si="1"/>
        <v>642.73000000000013</v>
      </c>
    </row>
    <row r="12" spans="1:7" ht="15" x14ac:dyDescent="0.25">
      <c r="A12" s="109" t="s">
        <v>165</v>
      </c>
      <c r="B12" s="110">
        <v>1280.8966092370472</v>
      </c>
      <c r="C12" s="67">
        <f t="shared" si="0"/>
        <v>2360.1082092370475</v>
      </c>
      <c r="D12" s="67">
        <f>SUMIF('נספח 3 - כללי'!$A:$A,A12,'נספח 3 - כללי'!$B:$B)</f>
        <v>2316.3582092370475</v>
      </c>
      <c r="E12" s="67">
        <f>SUMIF('נספח 3-אג"ח'!$A:$A,A12,'נספח 3-אג"ח'!$B:$B)</f>
        <v>0</v>
      </c>
      <c r="F12" s="67">
        <f>SUMIF('נספח 3 - מניות'!$A:$A,A12,'נספח 3 - מניות'!$B:$B)</f>
        <v>43.75</v>
      </c>
      <c r="G12" s="106"/>
    </row>
    <row r="13" spans="1:7" ht="15" x14ac:dyDescent="0.25">
      <c r="A13" s="109" t="s">
        <v>30</v>
      </c>
      <c r="B13" s="111">
        <v>2847267.0440000002</v>
      </c>
      <c r="C13" s="67">
        <f>SUM(D13:F13)</f>
        <v>2858303.0862602741</v>
      </c>
      <c r="D13" s="67">
        <f>SUMIF('נספח 3 - כללי'!$A:$A,A13,'נספח 3 - כללי'!$B:$B)</f>
        <v>2747201</v>
      </c>
      <c r="E13" s="67">
        <f>SUMIF('נספח 3-אג"ח'!$A:$A,A13,'נספח 3-אג"ח'!$B:$B)</f>
        <v>69073.522228378002</v>
      </c>
      <c r="F13" s="67">
        <f>SUMIF('נספח 3 - מניות'!$A:$A,A13,'נספח 3 - מניות'!$B:$B)</f>
        <v>42028.5640318964</v>
      </c>
      <c r="G13" s="106">
        <f t="shared" si="1"/>
        <v>11036.042260273825</v>
      </c>
    </row>
    <row r="15" spans="1:7" x14ac:dyDescent="0.2">
      <c r="C15" s="6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G9"/>
  <sheetViews>
    <sheetView rightToLeft="1" topLeftCell="A7" workbookViewId="0">
      <selection activeCell="C2" sqref="C2"/>
    </sheetView>
  </sheetViews>
  <sheetFormatPr defaultRowHeight="14.25" outlineLevelCol="1" x14ac:dyDescent="0.2"/>
  <cols>
    <col min="1" max="1" width="48.25" bestFit="1" customWidth="1"/>
    <col min="2" max="3" width="12.375" bestFit="1" customWidth="1"/>
    <col min="4" max="4" width="12.375" customWidth="1" outlineLevel="1"/>
    <col min="5" max="6" width="9.875" customWidth="1" outlineLevel="1"/>
    <col min="7" max="7" width="9.875" bestFit="1" customWidth="1"/>
  </cols>
  <sheetData>
    <row r="1" spans="1:7" ht="15" x14ac:dyDescent="0.25">
      <c r="A1" s="101" t="s">
        <v>1</v>
      </c>
      <c r="B1" s="101" t="s">
        <v>2</v>
      </c>
      <c r="C1" s="102" t="s">
        <v>212</v>
      </c>
      <c r="D1" s="103" t="s">
        <v>213</v>
      </c>
      <c r="E1" s="103" t="s">
        <v>214</v>
      </c>
      <c r="F1" s="103" t="s">
        <v>215</v>
      </c>
      <c r="G1" s="103" t="s">
        <v>216</v>
      </c>
    </row>
    <row r="2" spans="1:7" ht="15" x14ac:dyDescent="0.25">
      <c r="A2" s="49" t="s">
        <v>67</v>
      </c>
      <c r="B2" s="50">
        <v>470.13</v>
      </c>
      <c r="C2">
        <f t="shared" ref="C2:C9" si="0">SUM(D2:F2)</f>
        <v>1011.28</v>
      </c>
      <c r="D2" s="67">
        <f>SUMIF('נספח 2- כללי'!A:A,A2,'נספח 2- כללי'!B:B)</f>
        <v>965.87</v>
      </c>
      <c r="E2" s="67">
        <f>SUMIF('נספח 2- אג"ח'!A:A,'בקרה - נספח2'!A2,'נספח 2- אג"ח'!B:B)</f>
        <v>13.04</v>
      </c>
      <c r="F2" s="67">
        <f>SUMIF('נספח 2-מניות'!A:A,A2,'נספח 2-מניות'!B:B)</f>
        <v>32.369999999999997</v>
      </c>
      <c r="G2" s="106">
        <f t="shared" ref="G2:G9" si="1">C2-B2</f>
        <v>541.15</v>
      </c>
    </row>
    <row r="3" spans="1:7" ht="15" x14ac:dyDescent="0.25">
      <c r="A3" s="49" t="s">
        <v>72</v>
      </c>
      <c r="B3" s="50">
        <v>55.61999999999999</v>
      </c>
      <c r="C3">
        <f t="shared" si="0"/>
        <v>108.50999999999999</v>
      </c>
      <c r="D3" s="67">
        <f>SUMIF('נספח 2- כללי'!A:A,A3,'נספח 2- כללי'!B:B)</f>
        <v>104.45</v>
      </c>
      <c r="E3" s="67">
        <f>SUMIF('נספח 2- אג"ח'!A:A,'בקרה - נספח2'!A3,'נספח 2- אג"ח'!B:B)</f>
        <v>1.35</v>
      </c>
      <c r="F3" s="67">
        <f>SUMIF('נספח 2-מניות'!A:A,A3,'נספח 2-מניות'!B:B)</f>
        <v>2.71</v>
      </c>
      <c r="G3" s="106">
        <f t="shared" si="1"/>
        <v>52.89</v>
      </c>
    </row>
    <row r="4" spans="1:7" ht="15" x14ac:dyDescent="0.25">
      <c r="A4" s="44" t="s">
        <v>74</v>
      </c>
      <c r="B4" s="45">
        <v>0</v>
      </c>
      <c r="C4">
        <f t="shared" si="0"/>
        <v>0</v>
      </c>
      <c r="D4" s="67">
        <f>SUMIF('נספח 2- כללי'!A:A,A4,'נספח 2- כללי'!B:B)</f>
        <v>0</v>
      </c>
      <c r="E4" s="67">
        <f>SUMIF('נספח 2- אג"ח'!A:A,'בקרה - נספח2'!A4,'נספח 2- אג"ח'!B:B)</f>
        <v>0</v>
      </c>
      <c r="F4" s="67">
        <f>SUMIF('נספח 2-מניות'!A:A,A4,'נספח 2-מניות'!B:B)</f>
        <v>0</v>
      </c>
      <c r="G4" s="106">
        <f t="shared" si="1"/>
        <v>0</v>
      </c>
    </row>
    <row r="5" spans="1:7" ht="15" x14ac:dyDescent="0.25">
      <c r="A5" s="44" t="s">
        <v>78</v>
      </c>
      <c r="B5" s="45">
        <v>0</v>
      </c>
      <c r="C5">
        <f t="shared" si="0"/>
        <v>0</v>
      </c>
      <c r="D5" s="67">
        <f>SUMIF('נספח 2- כללי'!A:A,A5,'נספח 2- כללי'!B:B)</f>
        <v>0</v>
      </c>
      <c r="E5" s="67">
        <f>SUMIF('נספח 2- אג"ח'!A:A,'בקרה - נספח2'!A5,'נספח 2- אג"ח'!B:B)</f>
        <v>0</v>
      </c>
      <c r="F5" s="67">
        <f>SUMIF('נספח 2-מניות'!A:A,A5,'נספח 2-מניות'!B:B)</f>
        <v>0</v>
      </c>
      <c r="G5" s="106">
        <f t="shared" si="1"/>
        <v>0</v>
      </c>
    </row>
    <row r="6" spans="1:7" ht="15" x14ac:dyDescent="0.25">
      <c r="A6" s="44" t="s">
        <v>80</v>
      </c>
      <c r="B6" s="45">
        <v>0</v>
      </c>
      <c r="C6">
        <f t="shared" si="0"/>
        <v>0</v>
      </c>
      <c r="D6" s="67">
        <f>SUMIF('נספח 2- כללי'!A:A,A6,'נספח 2- כללי'!B:B)</f>
        <v>0</v>
      </c>
      <c r="E6" s="67">
        <f>SUMIF('נספח 2- אג"ח'!A:A,'בקרה - נספח2'!A6,'נספח 2- אג"ח'!B:B)</f>
        <v>0</v>
      </c>
      <c r="F6" s="67">
        <f>SUMIF('נספח 2-מניות'!A:A,A6,'נספח 2-מניות'!B:B)</f>
        <v>0</v>
      </c>
      <c r="G6" s="106">
        <f t="shared" si="1"/>
        <v>0</v>
      </c>
    </row>
    <row r="7" spans="1:7" ht="15" x14ac:dyDescent="0.25">
      <c r="A7" s="44" t="s">
        <v>82</v>
      </c>
      <c r="B7" s="45">
        <v>0</v>
      </c>
      <c r="C7">
        <f t="shared" si="0"/>
        <v>0</v>
      </c>
      <c r="D7" s="67">
        <f>SUMIF('נספח 2- כללי'!A:A,A7,'נספח 2- כללי'!B:B)</f>
        <v>0</v>
      </c>
      <c r="E7" s="67">
        <f>SUMIF('נספח 2- אג"ח'!A:A,'בקרה - נספח2'!A7,'נספח 2- אג"ח'!B:B)</f>
        <v>0</v>
      </c>
      <c r="F7" s="67">
        <f>SUMIF('נספח 2-מניות'!A:A,A7,'נספח 2-מניות'!B:B)</f>
        <v>0</v>
      </c>
      <c r="G7" s="106">
        <f t="shared" si="1"/>
        <v>0</v>
      </c>
    </row>
    <row r="8" spans="1:7" ht="15" x14ac:dyDescent="0.25">
      <c r="A8" s="97" t="s">
        <v>83</v>
      </c>
      <c r="B8" s="41">
        <v>525.75</v>
      </c>
      <c r="C8" s="106">
        <f>SUM(D8:F8)</f>
        <v>1119.79</v>
      </c>
      <c r="D8" s="67">
        <f>SUMIF('נספח 2- כללי'!A:A,A8,'נספח 2- כללי'!B:B)</f>
        <v>1070.32</v>
      </c>
      <c r="E8" s="67">
        <f>SUMIF('נספח 2- אג"ח'!A:A,'בקרה - נספח2'!A8,'נספח 2- אג"ח'!B:B)</f>
        <v>14.389999999999999</v>
      </c>
      <c r="F8" s="67">
        <f>SUMIF('נספח 2-מניות'!A:A,A8,'נספח 2-מניות'!B:B)</f>
        <v>35.08</v>
      </c>
      <c r="G8" s="106">
        <f t="shared" si="1"/>
        <v>594.04</v>
      </c>
    </row>
    <row r="9" spans="1:7" ht="15" x14ac:dyDescent="0.25">
      <c r="A9" s="97" t="s">
        <v>30</v>
      </c>
      <c r="B9" s="24">
        <v>2847267.0440000002</v>
      </c>
      <c r="C9" s="67">
        <f t="shared" si="0"/>
        <v>2858303.0862602741</v>
      </c>
      <c r="D9" s="67">
        <f>SUMIF('נספח 2- כללי'!A:A,A9,'נספח 2- כללי'!B:B)</f>
        <v>2747201</v>
      </c>
      <c r="E9" s="67">
        <f>SUMIF('נספח 2- אג"ח'!A:A,'בקרה - נספח2'!A9,'נספח 2- אג"ח'!B:B)</f>
        <v>69073.522228378002</v>
      </c>
      <c r="F9" s="67">
        <f>SUMIF('נספח 2-מניות'!A:A,A9,'נספח 2-מניות'!B:B)</f>
        <v>42028.5640318964</v>
      </c>
      <c r="G9" s="106">
        <f t="shared" si="1"/>
        <v>11036.042260273825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G10"/>
  <sheetViews>
    <sheetView rightToLeft="1" workbookViewId="0">
      <selection activeCell="F8" sqref="F8"/>
    </sheetView>
  </sheetViews>
  <sheetFormatPr defaultRowHeight="14.25" outlineLevelCol="1" x14ac:dyDescent="0.2"/>
  <cols>
    <col min="1" max="1" width="26.375" bestFit="1" customWidth="1"/>
    <col min="2" max="3" width="12.375" bestFit="1" customWidth="1"/>
    <col min="4" max="4" width="12.375" bestFit="1" customWidth="1" outlineLevel="1"/>
    <col min="5" max="6" width="9.875" bestFit="1" customWidth="1" outlineLevel="1"/>
    <col min="7" max="7" width="9.875" bestFit="1" customWidth="1"/>
  </cols>
  <sheetData>
    <row r="1" spans="1:7" ht="15" x14ac:dyDescent="0.25">
      <c r="A1" s="1" t="s">
        <v>1</v>
      </c>
      <c r="B1" s="1" t="s">
        <v>2</v>
      </c>
      <c r="C1" s="102" t="s">
        <v>212</v>
      </c>
      <c r="D1" s="103" t="s">
        <v>213</v>
      </c>
      <c r="E1" s="103" t="s">
        <v>214</v>
      </c>
      <c r="F1" s="103" t="s">
        <v>215</v>
      </c>
      <c r="G1" s="103" t="s">
        <v>216</v>
      </c>
    </row>
    <row r="2" spans="1:7" ht="15" x14ac:dyDescent="0.25">
      <c r="A2" s="2" t="s">
        <v>4</v>
      </c>
      <c r="B2" s="3">
        <v>470.13</v>
      </c>
      <c r="C2" s="67">
        <f t="shared" ref="C2:C7" si="0">SUM(D2:F2)</f>
        <v>1011.28</v>
      </c>
      <c r="D2" s="67">
        <f>SUMIF('נספח 1-כללי'!B:B,A2,'נספח 1-כללי'!C:C)</f>
        <v>965.87</v>
      </c>
      <c r="E2" s="67">
        <f>SUMIF('נספח 1-  אג"ח'!B:B,A2,'נספח 1-  אג"ח'!C:C)</f>
        <v>13.04</v>
      </c>
      <c r="F2" s="67">
        <f>SUMIF('נספח 1- מניות'!B:B,A2,'נספח 1- מניות'!C:C)</f>
        <v>32.369999999999997</v>
      </c>
      <c r="G2" s="67">
        <f t="shared" ref="G2:G9" si="1">C2-B2</f>
        <v>541.15</v>
      </c>
    </row>
    <row r="3" spans="1:7" ht="15" x14ac:dyDescent="0.25">
      <c r="A3" s="2" t="s">
        <v>7</v>
      </c>
      <c r="B3" s="3">
        <v>55.61999999999999</v>
      </c>
      <c r="C3" s="67">
        <f t="shared" si="0"/>
        <v>108.50999999999999</v>
      </c>
      <c r="D3" s="67">
        <f>SUMIF('נספח 1-כללי'!B:B,A3,'נספח 1-כללי'!C:C)</f>
        <v>104.45</v>
      </c>
      <c r="E3" s="67">
        <f>SUMIF('נספח 1-  אג"ח'!B:B,A3,'נספח 1-  אג"ח'!C:C)</f>
        <v>1.35</v>
      </c>
      <c r="F3" s="67">
        <f>SUMIF('נספח 1- מניות'!B:B,A3,'נספח 1- מניות'!C:C)</f>
        <v>2.71</v>
      </c>
      <c r="G3" s="67">
        <f t="shared" si="1"/>
        <v>52.89</v>
      </c>
    </row>
    <row r="4" spans="1:7" ht="15" x14ac:dyDescent="0.25">
      <c r="A4" s="2" t="s">
        <v>10</v>
      </c>
      <c r="B4" s="3">
        <v>0</v>
      </c>
      <c r="C4" s="67">
        <f t="shared" si="0"/>
        <v>0</v>
      </c>
      <c r="D4" s="67">
        <f>SUMIF('נספח 1-כללי'!B:B,A4,'נספח 1-כללי'!C:C)</f>
        <v>0</v>
      </c>
      <c r="E4" s="67">
        <f>SUMIF('נספח 1-  אג"ח'!B:B,A4,'נספח 1-  אג"ח'!C:C)</f>
        <v>0</v>
      </c>
      <c r="F4" s="67">
        <f>SUMIF('נספח 1- מניות'!B:B,A4,'נספח 1- מניות'!C:C)</f>
        <v>0</v>
      </c>
      <c r="G4" s="67">
        <f t="shared" si="1"/>
        <v>0</v>
      </c>
    </row>
    <row r="5" spans="1:7" ht="15" x14ac:dyDescent="0.25">
      <c r="A5" s="2" t="s">
        <v>14</v>
      </c>
      <c r="B5" s="3">
        <v>1272.8466092370475</v>
      </c>
      <c r="C5" s="67">
        <f t="shared" si="0"/>
        <v>2360.1082092370475</v>
      </c>
      <c r="D5" s="67">
        <f>SUMIF('נספח 1-כללי'!B:B,A5,'נספח 1-כללי'!C:C)</f>
        <v>2316.3582092370475</v>
      </c>
      <c r="E5" s="67">
        <f>SUMIF('נספח 1-  אג"ח'!B:B,A5,'נספח 1-  אג"ח'!C:C)</f>
        <v>0</v>
      </c>
      <c r="F5" s="67">
        <f>SUMIF('נספח 1- מניות'!B:B,A5,'נספח 1- מניות'!C:C)</f>
        <v>43.75</v>
      </c>
      <c r="G5" s="67">
        <f t="shared" si="1"/>
        <v>1087.2616</v>
      </c>
    </row>
    <row r="6" spans="1:7" ht="15" x14ac:dyDescent="0.25">
      <c r="A6" s="2" t="s">
        <v>23</v>
      </c>
      <c r="B6" s="3">
        <v>0</v>
      </c>
      <c r="C6" s="67">
        <f t="shared" si="0"/>
        <v>0</v>
      </c>
      <c r="D6" s="67">
        <f>SUMIF('נספח 1-כללי'!B:B,A6,'נספח 1-כללי'!C:C)</f>
        <v>0</v>
      </c>
      <c r="E6" s="67">
        <f>SUMIF('נספח 1-  אג"ח'!B:B,A6,'נספח 1-  אג"ח'!C:C)</f>
        <v>0</v>
      </c>
      <c r="F6" s="67">
        <f>SUMIF('נספח 1- מניות'!B:B,A6,'נספח 1- מניות'!C:C)</f>
        <v>0</v>
      </c>
      <c r="G6" s="67">
        <f t="shared" si="1"/>
        <v>0</v>
      </c>
    </row>
    <row r="7" spans="1:7" ht="15" x14ac:dyDescent="0.25">
      <c r="A7" s="2" t="s">
        <v>26</v>
      </c>
      <c r="B7" s="3">
        <v>1798.5966092370475</v>
      </c>
      <c r="C7" s="67">
        <f t="shared" si="0"/>
        <v>3479.8982092370475</v>
      </c>
      <c r="D7" s="67">
        <f>SUMIF('נספח 1-כללי'!B:B,A7,'נספח 1-כללי'!C:C)</f>
        <v>3386.6782092370477</v>
      </c>
      <c r="E7" s="67">
        <f>SUMIF('נספח 1-  אג"ח'!B:B,A7,'נספח 1-  אג"ח'!C:C)</f>
        <v>14.389999999999999</v>
      </c>
      <c r="F7" s="67">
        <f>SUMIF('נספח 1- מניות'!B:B,A7,'נספח 1- מניות'!C:C)</f>
        <v>78.83</v>
      </c>
      <c r="G7" s="67">
        <f t="shared" si="1"/>
        <v>1681.3016</v>
      </c>
    </row>
    <row r="8" spans="1:7" ht="15" x14ac:dyDescent="0.25">
      <c r="A8" s="5" t="s">
        <v>30</v>
      </c>
      <c r="B8" s="24">
        <v>2847267.0440000002</v>
      </c>
      <c r="C8" s="67">
        <f>SUM(D8:F8)</f>
        <v>2858303.0862602741</v>
      </c>
      <c r="D8" s="67">
        <f>SUMIF('נספח 1-כללי'!B:B,A8,'נספח 1-כללי'!C:C)</f>
        <v>2747201</v>
      </c>
      <c r="E8" s="67">
        <f>SUMIF('נספח 1-  אג"ח'!B:B,A8,'נספח 1-  אג"ח'!C:C)</f>
        <v>69073.522228378002</v>
      </c>
      <c r="F8" s="67">
        <f>SUMIF('נספח 1- מניות'!B:B,A8,'נספח 1- מניות'!C:C)</f>
        <v>42028.5640318964</v>
      </c>
      <c r="G8" s="67">
        <f t="shared" si="1"/>
        <v>11036.042260273825</v>
      </c>
    </row>
    <row r="9" spans="1:7" ht="15" x14ac:dyDescent="0.25">
      <c r="A9" s="5" t="s">
        <v>31</v>
      </c>
      <c r="B9" s="100">
        <v>2827459</v>
      </c>
      <c r="C9" s="67">
        <f>SUM(D9:F9)</f>
        <v>2828013</v>
      </c>
      <c r="D9" s="67">
        <f>SUMIF('נספח 1-כללי'!B:B,A9,'נספח 1-כללי'!C:C)</f>
        <v>2719026</v>
      </c>
      <c r="E9" s="67">
        <f>SUMIF('נספח 1-  אג"ח'!B:B,A9,'נספח 1-  אג"ח'!C:C)</f>
        <v>75299</v>
      </c>
      <c r="F9" s="67">
        <f>SUMIF('נספח 1- מניות'!B:B,A9,'נספח 1- מניות'!C:C)</f>
        <v>33688</v>
      </c>
      <c r="G9" s="67">
        <f t="shared" si="1"/>
        <v>554</v>
      </c>
    </row>
    <row r="10" spans="1:7" ht="15" x14ac:dyDescent="0.25">
      <c r="A10" s="5" t="s">
        <v>32</v>
      </c>
      <c r="B10" s="13">
        <v>2837363.0219999999</v>
      </c>
      <c r="C10" s="67">
        <f>SUM(D10:F10)</f>
        <v>2843158.043130137</v>
      </c>
      <c r="D10" s="67">
        <f>SUMIF('נספח 1-כללי'!B:B,A10,'נספח 1-כללי'!C:C)</f>
        <v>2733113.5</v>
      </c>
      <c r="E10" s="67">
        <f>SUMIF('נספח 1-  אג"ח'!B:B,A10,'נספח 1-  אג"ח'!C:C)</f>
        <v>72186.261114188994</v>
      </c>
      <c r="F10" s="67">
        <f>SUMIF('נספח 1- מניות'!B:B,A10,'נספח 1- מניות'!C:C)</f>
        <v>37858.2820159482</v>
      </c>
      <c r="G10" s="67">
        <f>C10-B10</f>
        <v>5795.0211301371455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15</vt:i4>
      </vt:variant>
    </vt:vector>
  </HeadingPairs>
  <TitlesOfParts>
    <vt:vector size="15" baseType="lpstr">
      <vt:lpstr>נספח 1 - סך התשלומים ששולמו</vt:lpstr>
      <vt:lpstr>נספח 1-כללי</vt:lpstr>
      <vt:lpstr>נספח 1-  אג"ח</vt:lpstr>
      <vt:lpstr>נספח 1- מניות</vt:lpstr>
      <vt:lpstr>נספח 2 - עמלות והוצאות</vt:lpstr>
      <vt:lpstr>נספח 2- כללי</vt:lpstr>
      <vt:lpstr>נספח 2- אג"ח</vt:lpstr>
      <vt:lpstr>נספח 2-מניות</vt:lpstr>
      <vt:lpstr>נספח 3 - עמלות ניהול חיצוני</vt:lpstr>
      <vt:lpstr>נספח 3 - כללי</vt:lpstr>
      <vt:lpstr>נספח 3-אג"ח</vt:lpstr>
      <vt:lpstr>נספח 3 - מניות</vt:lpstr>
      <vt:lpstr>בקרה - נספח3</vt:lpstr>
      <vt:lpstr>בקרה - נספח2</vt:lpstr>
      <vt:lpstr>בקרה - נספח1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Buhadana Talya</dc:creator>
  <cp:lastModifiedBy>Neomi Davidyan</cp:lastModifiedBy>
  <cp:lastPrinted>2022-05-11T17:34:24Z</cp:lastPrinted>
  <dcterms:created xsi:type="dcterms:W3CDTF">2020-05-17T08:17:59Z</dcterms:created>
  <dcterms:modified xsi:type="dcterms:W3CDTF">2022-07-07T09:36:03Z</dcterms:modified>
</cp:coreProperties>
</file>